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BOOKS\MDP\6th\Templates\"/>
    </mc:Choice>
  </mc:AlternateContent>
  <xr:revisionPtr revIDLastSave="0" documentId="8_{8748B59C-9F76-499F-B18C-9F53652E9296}" xr6:coauthVersionLast="34" xr6:coauthVersionMax="34" xr10:uidLastSave="{00000000-0000-0000-0000-000000000000}"/>
  <bookViews>
    <workbookView xWindow="0" yWindow="252" windowWidth="16920" windowHeight="8988" xr2:uid="{00000000-000D-0000-FFFF-FFFF00000000}"/>
  </bookViews>
  <sheets>
    <sheet name="Main" sheetId="1" r:id="rId1"/>
    <sheet name="Mill" sheetId="4" state="hidden" r:id="rId2"/>
    <sheet name="Lathe" sheetId="3" state="hidden" r:id="rId3"/>
    <sheet name="Material" sheetId="2" state="hidden" r:id="rId4"/>
  </sheets>
  <calcPr calcId="179017"/>
</workbook>
</file>

<file path=xl/calcChain.xml><?xml version="1.0" encoding="utf-8"?>
<calcChain xmlns="http://schemas.openxmlformats.org/spreadsheetml/2006/main">
  <c r="N3" i="4" l="1"/>
  <c r="N4" i="4"/>
  <c r="N5" i="4"/>
  <c r="N6" i="4"/>
  <c r="N11" i="4"/>
  <c r="N10" i="4"/>
  <c r="N7" i="4"/>
  <c r="N2" i="4"/>
  <c r="N16" i="4" s="1"/>
  <c r="C28" i="2"/>
  <c r="C24" i="2"/>
  <c r="N3" i="3"/>
  <c r="N13" i="3" s="1"/>
  <c r="N4" i="3"/>
  <c r="N5" i="3"/>
  <c r="N7" i="3"/>
  <c r="N12" i="3"/>
  <c r="N11" i="3"/>
  <c r="N6" i="3"/>
  <c r="N8" i="3" s="1"/>
  <c r="C3" i="2"/>
  <c r="C10" i="2"/>
  <c r="C22" i="1" s="1"/>
  <c r="D11" i="2"/>
  <c r="M18" i="3"/>
  <c r="M12" i="3"/>
  <c r="M3" i="3"/>
  <c r="M4" i="3"/>
  <c r="M7" i="3"/>
  <c r="M5" i="3"/>
  <c r="M11" i="3"/>
  <c r="M6" i="3"/>
  <c r="M8" i="3" s="1"/>
  <c r="M3" i="4"/>
  <c r="M4" i="4"/>
  <c r="M5" i="4"/>
  <c r="M10" i="4"/>
  <c r="M6" i="4"/>
  <c r="M11" i="4"/>
  <c r="M7" i="4"/>
  <c r="M16" i="4"/>
  <c r="L18" i="3"/>
  <c r="L12" i="3"/>
  <c r="L3" i="3"/>
  <c r="L13" i="3" s="1"/>
  <c r="L4" i="3"/>
  <c r="L7" i="3"/>
  <c r="L5" i="3"/>
  <c r="L11" i="3"/>
  <c r="L6" i="3"/>
  <c r="L8" i="3" s="1"/>
  <c r="L3" i="4"/>
  <c r="L4" i="4"/>
  <c r="L5" i="4"/>
  <c r="L10" i="4"/>
  <c r="L6" i="4"/>
  <c r="L11" i="4"/>
  <c r="L7" i="4"/>
  <c r="L16" i="4"/>
  <c r="K18" i="3"/>
  <c r="K12" i="3"/>
  <c r="K3" i="3"/>
  <c r="K13" i="3" s="1"/>
  <c r="K4" i="3"/>
  <c r="K7" i="3"/>
  <c r="K5" i="3"/>
  <c r="K11" i="3"/>
  <c r="K6" i="3"/>
  <c r="K8" i="3" s="1"/>
  <c r="K3" i="4"/>
  <c r="K4" i="4"/>
  <c r="K5" i="4"/>
  <c r="K10" i="4"/>
  <c r="K6" i="4"/>
  <c r="K11" i="4"/>
  <c r="K7" i="4"/>
  <c r="K16" i="4"/>
  <c r="J18" i="3"/>
  <c r="J12" i="3"/>
  <c r="J3" i="3"/>
  <c r="J13" i="3" s="1"/>
  <c r="J4" i="3"/>
  <c r="J7" i="3"/>
  <c r="J5" i="3"/>
  <c r="J10" i="3"/>
  <c r="J15" i="3" s="1"/>
  <c r="J11" i="3"/>
  <c r="J6" i="3"/>
  <c r="J8" i="3" s="1"/>
  <c r="J3" i="4"/>
  <c r="J4" i="4"/>
  <c r="J5" i="4"/>
  <c r="J10" i="4"/>
  <c r="J6" i="4"/>
  <c r="J11" i="4"/>
  <c r="J7" i="4"/>
  <c r="J16" i="4"/>
  <c r="I18" i="3"/>
  <c r="I12" i="3"/>
  <c r="I3" i="3"/>
  <c r="I4" i="3"/>
  <c r="I7" i="3"/>
  <c r="I5" i="3"/>
  <c r="I11" i="3"/>
  <c r="I6" i="3"/>
  <c r="I8" i="3" s="1"/>
  <c r="I3" i="4"/>
  <c r="I4" i="4"/>
  <c r="I5" i="4"/>
  <c r="I10" i="4"/>
  <c r="I6" i="4"/>
  <c r="I11" i="4"/>
  <c r="I7" i="4"/>
  <c r="I16" i="4"/>
  <c r="H18" i="3"/>
  <c r="H12" i="3"/>
  <c r="H3" i="3"/>
  <c r="H4" i="3"/>
  <c r="H7" i="3"/>
  <c r="H5" i="3"/>
  <c r="H11" i="3"/>
  <c r="H6" i="3"/>
  <c r="H8" i="3" s="1"/>
  <c r="H3" i="4"/>
  <c r="H4" i="4"/>
  <c r="H5" i="4"/>
  <c r="H10" i="4"/>
  <c r="H6" i="4"/>
  <c r="H11" i="4"/>
  <c r="H7" i="4"/>
  <c r="H16" i="4"/>
  <c r="G18" i="3"/>
  <c r="G12" i="3"/>
  <c r="G3" i="3"/>
  <c r="G13" i="3" s="1"/>
  <c r="G4" i="3"/>
  <c r="G7" i="3"/>
  <c r="G5" i="3"/>
  <c r="G10" i="3"/>
  <c r="G16" i="3" s="1"/>
  <c r="G11" i="3"/>
  <c r="G6" i="3"/>
  <c r="G8" i="3" s="1"/>
  <c r="G3" i="4"/>
  <c r="G4" i="4"/>
  <c r="G5" i="4"/>
  <c r="G10" i="4"/>
  <c r="G6" i="4"/>
  <c r="G11" i="4"/>
  <c r="G7" i="4"/>
  <c r="G16" i="4"/>
  <c r="F18" i="3"/>
  <c r="F12" i="3"/>
  <c r="F3" i="3"/>
  <c r="F4" i="3"/>
  <c r="F7" i="3"/>
  <c r="F5" i="3"/>
  <c r="F11" i="3"/>
  <c r="F13" i="3"/>
  <c r="F14" i="3" s="1"/>
  <c r="F6" i="3"/>
  <c r="F8" i="3" s="1"/>
  <c r="F3" i="4"/>
  <c r="F4" i="4"/>
  <c r="F5" i="4"/>
  <c r="F10" i="4"/>
  <c r="F6" i="4"/>
  <c r="F11" i="4"/>
  <c r="F7" i="4"/>
  <c r="F16" i="4"/>
  <c r="E18" i="3"/>
  <c r="E12" i="3"/>
  <c r="E3" i="3"/>
  <c r="E4" i="3"/>
  <c r="E10" i="3" s="1"/>
  <c r="E7" i="3"/>
  <c r="E5" i="3"/>
  <c r="E11" i="3"/>
  <c r="E6" i="3"/>
  <c r="E8" i="3" s="1"/>
  <c r="E3" i="4"/>
  <c r="E4" i="4"/>
  <c r="E5" i="4"/>
  <c r="E10" i="4"/>
  <c r="E6" i="4"/>
  <c r="E11" i="4"/>
  <c r="E7" i="4"/>
  <c r="E16" i="4"/>
  <c r="D18" i="3"/>
  <c r="D12" i="3"/>
  <c r="D3" i="3"/>
  <c r="D4" i="3"/>
  <c r="D10" i="3" s="1"/>
  <c r="D7" i="3"/>
  <c r="D5" i="3"/>
  <c r="D11" i="3"/>
  <c r="D13" i="3"/>
  <c r="D6" i="3"/>
  <c r="D8" i="3" s="1"/>
  <c r="D3" i="4"/>
  <c r="D4" i="4"/>
  <c r="D5" i="4"/>
  <c r="D10" i="4"/>
  <c r="D6" i="4"/>
  <c r="D11" i="4"/>
  <c r="D7" i="4"/>
  <c r="D16" i="4"/>
  <c r="C18" i="3"/>
  <c r="C12" i="3"/>
  <c r="C3" i="3"/>
  <c r="C13" i="3" s="1"/>
  <c r="C4" i="3"/>
  <c r="C7" i="3"/>
  <c r="C5" i="3"/>
  <c r="C11" i="3"/>
  <c r="C6" i="3"/>
  <c r="C8" i="3" s="1"/>
  <c r="C3" i="4"/>
  <c r="C4" i="4"/>
  <c r="C5" i="4"/>
  <c r="C10" i="4"/>
  <c r="C6" i="4"/>
  <c r="C11" i="4"/>
  <c r="C7" i="4"/>
  <c r="C16" i="4"/>
  <c r="M31" i="2"/>
  <c r="N2" i="3"/>
  <c r="B19" i="1"/>
  <c r="B18" i="1"/>
  <c r="C4" i="2"/>
  <c r="B15" i="1"/>
  <c r="B16" i="1"/>
  <c r="C2" i="2"/>
  <c r="C9" i="2"/>
  <c r="C5" i="2"/>
  <c r="C6" i="2"/>
  <c r="C7" i="2"/>
  <c r="C8" i="2"/>
  <c r="K10" i="3" l="1"/>
  <c r="K16" i="3" s="1"/>
  <c r="F10" i="3"/>
  <c r="F24" i="3" s="1"/>
  <c r="K14" i="3"/>
  <c r="N18" i="3"/>
  <c r="C10" i="3"/>
  <c r="C15" i="3" s="1"/>
  <c r="L14" i="3"/>
  <c r="N14" i="3"/>
  <c r="G14" i="3"/>
  <c r="C14" i="3"/>
  <c r="D14" i="3"/>
  <c r="D9" i="3"/>
  <c r="E8" i="4"/>
  <c r="F8" i="4"/>
  <c r="H10" i="3"/>
  <c r="H15" i="3" s="1"/>
  <c r="I9" i="3"/>
  <c r="N9" i="3"/>
  <c r="D16" i="3"/>
  <c r="D24" i="3"/>
  <c r="F15" i="3"/>
  <c r="J16" i="3"/>
  <c r="K25" i="3"/>
  <c r="G9" i="3"/>
  <c r="J24" i="3"/>
  <c r="K9" i="4"/>
  <c r="K21" i="4" s="1"/>
  <c r="K24" i="3"/>
  <c r="C8" i="4"/>
  <c r="J14" i="3"/>
  <c r="K15" i="3"/>
  <c r="L9" i="3"/>
  <c r="M10" i="3"/>
  <c r="M15" i="3" s="1"/>
  <c r="N10" i="3"/>
  <c r="N15" i="3" s="1"/>
  <c r="N8" i="4"/>
  <c r="H8" i="4"/>
  <c r="H13" i="3"/>
  <c r="H14" i="3" s="1"/>
  <c r="L8" i="4"/>
  <c r="E16" i="3"/>
  <c r="E15" i="3"/>
  <c r="D15" i="3"/>
  <c r="E13" i="3"/>
  <c r="E14" i="3" s="1"/>
  <c r="E9" i="3"/>
  <c r="G15" i="3"/>
  <c r="I9" i="4"/>
  <c r="I21" i="4" s="1"/>
  <c r="I13" i="3"/>
  <c r="I14" i="3" s="1"/>
  <c r="J8" i="4"/>
  <c r="K9" i="3"/>
  <c r="M8" i="4"/>
  <c r="N12" i="4"/>
  <c r="G24" i="3"/>
  <c r="H9" i="3"/>
  <c r="I8" i="4"/>
  <c r="I10" i="3"/>
  <c r="I25" i="3" s="1"/>
  <c r="J9" i="3"/>
  <c r="J17" i="3" s="1"/>
  <c r="L9" i="4"/>
  <c r="L22" i="4" s="1"/>
  <c r="L10" i="3"/>
  <c r="M9" i="3"/>
  <c r="C9" i="3"/>
  <c r="D8" i="4"/>
  <c r="E24" i="3"/>
  <c r="F9" i="3"/>
  <c r="G8" i="4"/>
  <c r="J9" i="4"/>
  <c r="J21" i="4" s="1"/>
  <c r="K8" i="4"/>
  <c r="M9" i="4"/>
  <c r="M22" i="4" s="1"/>
  <c r="M13" i="3"/>
  <c r="M14" i="3" s="1"/>
  <c r="L21" i="4"/>
  <c r="J22" i="4"/>
  <c r="C12" i="4"/>
  <c r="D12" i="4"/>
  <c r="D25" i="3"/>
  <c r="E12" i="4"/>
  <c r="E25" i="3"/>
  <c r="F12" i="4"/>
  <c r="G12" i="4"/>
  <c r="G25" i="3"/>
  <c r="H12" i="4"/>
  <c r="I12" i="4"/>
  <c r="J12" i="4"/>
  <c r="J25" i="3"/>
  <c r="K12" i="4"/>
  <c r="L12" i="4"/>
  <c r="M12" i="4"/>
  <c r="N9" i="4"/>
  <c r="C9" i="4"/>
  <c r="D9" i="4"/>
  <c r="E9" i="4"/>
  <c r="F9" i="4"/>
  <c r="G9" i="4"/>
  <c r="H9" i="4"/>
  <c r="J13" i="4" l="1"/>
  <c r="F16" i="3"/>
  <c r="F25" i="3"/>
  <c r="M14" i="4"/>
  <c r="F17" i="3"/>
  <c r="F19" i="3" s="1"/>
  <c r="F20" i="3" s="1"/>
  <c r="N17" i="3"/>
  <c r="N19" i="3" s="1"/>
  <c r="N20" i="3" s="1"/>
  <c r="N24" i="3"/>
  <c r="C21" i="1" s="1"/>
  <c r="D17" i="3"/>
  <c r="D19" i="3" s="1"/>
  <c r="D20" i="3" s="1"/>
  <c r="D21" i="3" s="1"/>
  <c r="D22" i="3" s="1"/>
  <c r="D23" i="3" s="1"/>
  <c r="D26" i="3" s="1"/>
  <c r="C32" i="2" s="1"/>
  <c r="N25" i="3"/>
  <c r="C23" i="1" s="1"/>
  <c r="C16" i="3"/>
  <c r="C25" i="3"/>
  <c r="C24" i="3"/>
  <c r="N16" i="3"/>
  <c r="C17" i="3"/>
  <c r="C19" i="3" s="1"/>
  <c r="C20" i="3" s="1"/>
  <c r="C21" i="3" s="1"/>
  <c r="C22" i="3" s="1"/>
  <c r="C23" i="3" s="1"/>
  <c r="M13" i="4"/>
  <c r="M15" i="4" s="1"/>
  <c r="M17" i="4" s="1"/>
  <c r="M16" i="3"/>
  <c r="M21" i="4"/>
  <c r="K14" i="4"/>
  <c r="I13" i="4"/>
  <c r="I15" i="4" s="1"/>
  <c r="I17" i="4" s="1"/>
  <c r="M24" i="3"/>
  <c r="M25" i="3"/>
  <c r="G17" i="3"/>
  <c r="G19" i="3" s="1"/>
  <c r="G20" i="3" s="1"/>
  <c r="G21" i="3" s="1"/>
  <c r="G22" i="3" s="1"/>
  <c r="G23" i="3" s="1"/>
  <c r="G26" i="3" s="1"/>
  <c r="F32" i="2" s="1"/>
  <c r="H24" i="3"/>
  <c r="K22" i="4"/>
  <c r="J19" i="3"/>
  <c r="J20" i="3" s="1"/>
  <c r="J21" i="3" s="1"/>
  <c r="J22" i="3" s="1"/>
  <c r="J23" i="3" s="1"/>
  <c r="J26" i="3" s="1"/>
  <c r="I32" i="2" s="1"/>
  <c r="H25" i="3"/>
  <c r="J15" i="4"/>
  <c r="J17" i="4" s="1"/>
  <c r="K13" i="4"/>
  <c r="K15" i="4" s="1"/>
  <c r="K17" i="4" s="1"/>
  <c r="M17" i="3"/>
  <c r="M19" i="3" s="1"/>
  <c r="M20" i="3" s="1"/>
  <c r="E17" i="3"/>
  <c r="E19" i="3" s="1"/>
  <c r="E20" i="3" s="1"/>
  <c r="E21" i="3" s="1"/>
  <c r="E22" i="3" s="1"/>
  <c r="E23" i="3" s="1"/>
  <c r="E26" i="3" s="1"/>
  <c r="D32" i="2" s="1"/>
  <c r="I22" i="4"/>
  <c r="H17" i="3"/>
  <c r="H19" i="3" s="1"/>
  <c r="H20" i="3" s="1"/>
  <c r="H16" i="3"/>
  <c r="I14" i="4"/>
  <c r="I24" i="3"/>
  <c r="K17" i="3"/>
  <c r="K19" i="3" s="1"/>
  <c r="K20" i="3" s="1"/>
  <c r="K21" i="3" s="1"/>
  <c r="K22" i="3" s="1"/>
  <c r="K23" i="3" s="1"/>
  <c r="K26" i="3" s="1"/>
  <c r="J32" i="2" s="1"/>
  <c r="J14" i="4"/>
  <c r="I16" i="3"/>
  <c r="I15" i="3"/>
  <c r="I17" i="3" s="1"/>
  <c r="I19" i="3" s="1"/>
  <c r="I20" i="3" s="1"/>
  <c r="L13" i="4"/>
  <c r="L15" i="4" s="1"/>
  <c r="L17" i="4" s="1"/>
  <c r="L14" i="4"/>
  <c r="L25" i="3"/>
  <c r="L16" i="3"/>
  <c r="L15" i="3"/>
  <c r="L17" i="3" s="1"/>
  <c r="L19" i="3" s="1"/>
  <c r="L20" i="3" s="1"/>
  <c r="L24" i="3"/>
  <c r="E22" i="4"/>
  <c r="E21" i="4"/>
  <c r="E14" i="4"/>
  <c r="E13" i="4"/>
  <c r="E15" i="4" s="1"/>
  <c r="E17" i="4" s="1"/>
  <c r="F22" i="4"/>
  <c r="F21" i="4"/>
  <c r="F13" i="4"/>
  <c r="F15" i="4" s="1"/>
  <c r="F17" i="4" s="1"/>
  <c r="F14" i="4"/>
  <c r="N13" i="4"/>
  <c r="N15" i="4" s="1"/>
  <c r="N17" i="4" s="1"/>
  <c r="N14" i="4"/>
  <c r="N22" i="4"/>
  <c r="N21" i="4"/>
  <c r="G22" i="4"/>
  <c r="G21" i="4"/>
  <c r="G14" i="4"/>
  <c r="G13" i="4"/>
  <c r="G15" i="4" s="1"/>
  <c r="G17" i="4" s="1"/>
  <c r="C22" i="4"/>
  <c r="C13" i="4"/>
  <c r="C15" i="4" s="1"/>
  <c r="C17" i="4" s="1"/>
  <c r="C21" i="4"/>
  <c r="C14" i="4"/>
  <c r="H22" i="4"/>
  <c r="H13" i="4"/>
  <c r="H15" i="4" s="1"/>
  <c r="H17" i="4" s="1"/>
  <c r="H14" i="4"/>
  <c r="H21" i="4"/>
  <c r="D22" i="4"/>
  <c r="D13" i="4"/>
  <c r="D15" i="4" s="1"/>
  <c r="D17" i="4" s="1"/>
  <c r="D14" i="4"/>
  <c r="D21" i="4"/>
  <c r="F21" i="3" l="1"/>
  <c r="F22" i="3" s="1"/>
  <c r="F23" i="3" s="1"/>
  <c r="F26" i="3" s="1"/>
  <c r="E32" i="2" s="1"/>
  <c r="M18" i="4"/>
  <c r="M19" i="4" s="1"/>
  <c r="M20" i="4" s="1"/>
  <c r="M23" i="4" s="1"/>
  <c r="C26" i="3"/>
  <c r="B32" i="2" s="1"/>
  <c r="K18" i="4"/>
  <c r="K19" i="4" s="1"/>
  <c r="K20" i="4" s="1"/>
  <c r="K23" i="4" s="1"/>
  <c r="N21" i="3"/>
  <c r="N22" i="3" s="1"/>
  <c r="C24" i="1" s="1"/>
  <c r="M21" i="3"/>
  <c r="M22" i="3" s="1"/>
  <c r="M23" i="3" s="1"/>
  <c r="M26" i="3" s="1"/>
  <c r="L32" i="2" s="1"/>
  <c r="I18" i="4"/>
  <c r="I19" i="4" s="1"/>
  <c r="I20" i="4" s="1"/>
  <c r="I23" i="4" s="1"/>
  <c r="I21" i="3"/>
  <c r="I22" i="3" s="1"/>
  <c r="I23" i="3" s="1"/>
  <c r="I26" i="3" s="1"/>
  <c r="H32" i="2" s="1"/>
  <c r="H21" i="3"/>
  <c r="H22" i="3" s="1"/>
  <c r="H23" i="3" s="1"/>
  <c r="H26" i="3" s="1"/>
  <c r="G32" i="2" s="1"/>
  <c r="N18" i="4"/>
  <c r="N19" i="4" s="1"/>
  <c r="N20" i="4" s="1"/>
  <c r="N23" i="4" s="1"/>
  <c r="L21" i="3"/>
  <c r="L22" i="3" s="1"/>
  <c r="L23" i="3" s="1"/>
  <c r="L26" i="3" s="1"/>
  <c r="K32" i="2" s="1"/>
  <c r="J18" i="4"/>
  <c r="J19" i="4" s="1"/>
  <c r="J20" i="4" s="1"/>
  <c r="J23" i="4" s="1"/>
  <c r="F18" i="4"/>
  <c r="F19" i="4" s="1"/>
  <c r="F20" i="4" s="1"/>
  <c r="F23" i="4" s="1"/>
  <c r="L18" i="4"/>
  <c r="L19" i="4" s="1"/>
  <c r="L20" i="4" s="1"/>
  <c r="L23" i="4" s="1"/>
  <c r="G18" i="4"/>
  <c r="G19" i="4" s="1"/>
  <c r="G20" i="4" s="1"/>
  <c r="G23" i="4" s="1"/>
  <c r="E18" i="4"/>
  <c r="E19" i="4" s="1"/>
  <c r="E20" i="4" s="1"/>
  <c r="E23" i="4" s="1"/>
  <c r="D18" i="4"/>
  <c r="D19" i="4" s="1"/>
  <c r="D20" i="4" s="1"/>
  <c r="D23" i="4" s="1"/>
  <c r="H18" i="4"/>
  <c r="H19" i="4" s="1"/>
  <c r="H20" i="4" s="1"/>
  <c r="H23" i="4" s="1"/>
  <c r="C18" i="4"/>
  <c r="C19" i="4" s="1"/>
  <c r="C20" i="4" s="1"/>
  <c r="C23" i="4" s="1"/>
  <c r="N23" i="3" l="1"/>
  <c r="C25" i="1" s="1"/>
  <c r="N26" i="3" l="1"/>
  <c r="C26" i="1" s="1"/>
  <c r="M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Ullman</author>
  </authors>
  <commentList>
    <comment ref="B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David Ullman:</t>
        </r>
        <r>
          <rPr>
            <sz val="8"/>
            <color indexed="81"/>
            <rFont val="Tahoma"/>
            <family val="2"/>
          </rPr>
          <t xml:space="preserve">
ratio of final volume to raw material volume
</t>
        </r>
      </text>
    </comment>
  </commentList>
</comments>
</file>

<file path=xl/sharedStrings.xml><?xml version="1.0" encoding="utf-8"?>
<sst xmlns="http://schemas.openxmlformats.org/spreadsheetml/2006/main" count="155" uniqueCount="105">
  <si>
    <t>Aluminum Alloy</t>
  </si>
  <si>
    <t>Low Carbon Steel</t>
  </si>
  <si>
    <t>High Carbon Steel</t>
  </si>
  <si>
    <t>Stainless Steel</t>
  </si>
  <si>
    <t>High Strength Alloy Steel</t>
  </si>
  <si>
    <t>Titanium  Alloy</t>
  </si>
  <si>
    <t>Copper Alloy</t>
  </si>
  <si>
    <t>Magnesium Alloy</t>
  </si>
  <si>
    <t>Plate</t>
  </si>
  <si>
    <t>Bar</t>
  </si>
  <si>
    <t>Tube</t>
  </si>
  <si>
    <t>SHP</t>
  </si>
  <si>
    <t>MAT</t>
  </si>
  <si>
    <t>Lathe</t>
  </si>
  <si>
    <t>Mill</t>
  </si>
  <si>
    <t>MACH</t>
  </si>
  <si>
    <t>Other machines</t>
  </si>
  <si>
    <t>Number of parts</t>
  </si>
  <si>
    <t>NT</t>
  </si>
  <si>
    <t>Hourly rate</t>
  </si>
  <si>
    <t>Large</t>
  </si>
  <si>
    <t>Intermediate</t>
  </si>
  <si>
    <t>Fit</t>
  </si>
  <si>
    <t>TOL</t>
  </si>
  <si>
    <t>TF</t>
  </si>
  <si>
    <t>Rough</t>
  </si>
  <si>
    <t>Fine</t>
  </si>
  <si>
    <t>FF</t>
  </si>
  <si>
    <t>TPT</t>
  </si>
  <si>
    <t>DB</t>
  </si>
  <si>
    <t>LM</t>
  </si>
  <si>
    <t>VF</t>
  </si>
  <si>
    <t>PS</t>
  </si>
  <si>
    <t>Positioning time</t>
  </si>
  <si>
    <t xml:space="preserve">VM </t>
  </si>
  <si>
    <t>DA</t>
  </si>
  <si>
    <t>RV</t>
  </si>
  <si>
    <t>What Metal?</t>
  </si>
  <si>
    <t>What Primary Macining Process?</t>
  </si>
  <si>
    <t>What finish?</t>
  </si>
  <si>
    <t>What Raw Material Shape?</t>
  </si>
  <si>
    <t>What tolerance?</t>
  </si>
  <si>
    <t>Density</t>
  </si>
  <si>
    <t>RHO</t>
  </si>
  <si>
    <t>COST</t>
  </si>
  <si>
    <t>Cost</t>
  </si>
  <si>
    <t>WM</t>
  </si>
  <si>
    <t>TMC</t>
  </si>
  <si>
    <t>PM</t>
  </si>
  <si>
    <t>TLN</t>
  </si>
  <si>
    <t>TMP</t>
  </si>
  <si>
    <t>TSU</t>
  </si>
  <si>
    <t>TM</t>
  </si>
  <si>
    <t>TT</t>
  </si>
  <si>
    <t>LT</t>
  </si>
  <si>
    <t>CPR</t>
  </si>
  <si>
    <t>PWT</t>
  </si>
  <si>
    <t>CM</t>
  </si>
  <si>
    <t>CW</t>
  </si>
  <si>
    <t>lb</t>
  </si>
  <si>
    <t>$</t>
  </si>
  <si>
    <t>FIN</t>
  </si>
  <si>
    <t>setup time</t>
  </si>
  <si>
    <t>Volumetric Ratio (1-99)</t>
  </si>
  <si>
    <t>material removed</t>
  </si>
  <si>
    <t>length</t>
  </si>
  <si>
    <t>Parts per Batch</t>
  </si>
  <si>
    <t>RSG</t>
  </si>
  <si>
    <t>AM</t>
  </si>
  <si>
    <t>machining time</t>
  </si>
  <si>
    <t>N</t>
  </si>
  <si>
    <t>??</t>
  </si>
  <si>
    <t>weight of raw material</t>
  </si>
  <si>
    <t>cutting energy</t>
  </si>
  <si>
    <t>surface area</t>
  </si>
  <si>
    <t>maching time</t>
  </si>
  <si>
    <t>mach time for max power</t>
  </si>
  <si>
    <t>correction</t>
  </si>
  <si>
    <t>tot mach time</t>
  </si>
  <si>
    <t>process time</t>
  </si>
  <si>
    <t>process cost</t>
  </si>
  <si>
    <t>part weight</t>
  </si>
  <si>
    <t>material cost</t>
  </si>
  <si>
    <t>cost per part</t>
  </si>
  <si>
    <t>Part Wt</t>
  </si>
  <si>
    <t>Material Cost/lb</t>
  </si>
  <si>
    <t>hr</t>
  </si>
  <si>
    <t>in</t>
  </si>
  <si>
    <t>Material Cost/part</t>
  </si>
  <si>
    <t>Mach time/part</t>
  </si>
  <si>
    <t>Total cost</t>
  </si>
  <si>
    <t>Labor cost/part</t>
  </si>
  <si>
    <t>Plot setup</t>
  </si>
  <si>
    <t>Design Organization</t>
  </si>
  <si>
    <t>Part Evaluated</t>
  </si>
  <si>
    <t>Date</t>
  </si>
  <si>
    <t>The Mechanical Design Process</t>
  </si>
  <si>
    <t>Designed by Professor David G. Ullman</t>
  </si>
  <si>
    <t>Input</t>
  </si>
  <si>
    <t>Results</t>
  </si>
  <si>
    <t>Machined Part Cost Estimator</t>
  </si>
  <si>
    <t>Mechanical Design Process</t>
  </si>
  <si>
    <t>Part on page 346, 6th edition</t>
  </si>
  <si>
    <t>Copyright 2018</t>
  </si>
  <si>
    <t>Form #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</si>
</sst>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3" fontId="0" fillId="0" borderId="0" xfId="0" applyNumberFormat="1"/>
    <xf numFmtId="1" fontId="0" fillId="0" borderId="0" xfId="0" applyNumberFormat="1"/>
    <xf numFmtId="0" fontId="0" fillId="4" borderId="0" xfId="0" applyFill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6" xfId="0" applyFill="1" applyBorder="1"/>
    <xf numFmtId="0" fontId="0" fillId="4" borderId="0" xfId="0" applyFill="1" applyBorder="1"/>
    <xf numFmtId="0" fontId="0" fillId="4" borderId="5" xfId="0" applyFill="1" applyBorder="1"/>
    <xf numFmtId="2" fontId="0" fillId="4" borderId="0" xfId="0" applyNumberFormat="1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5" fillId="4" borderId="3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6" fillId="4" borderId="1" xfId="0" applyFont="1" applyFill="1" applyBorder="1"/>
    <xf numFmtId="0" fontId="7" fillId="4" borderId="3" xfId="0" applyFont="1" applyFill="1" applyBorder="1"/>
    <xf numFmtId="0" fontId="0" fillId="4" borderId="8" xfId="0" applyFill="1" applyBorder="1"/>
    <xf numFmtId="0" fontId="5" fillId="4" borderId="2" xfId="0" applyFont="1" applyFill="1" applyBorder="1" applyAlignment="1"/>
    <xf numFmtId="0" fontId="4" fillId="4" borderId="4" xfId="0" applyFont="1" applyFill="1" applyBorder="1" applyAlignment="1"/>
    <xf numFmtId="0" fontId="8" fillId="4" borderId="6" xfId="0" applyFont="1" applyFill="1" applyBorder="1"/>
    <xf numFmtId="0" fontId="8" fillId="4" borderId="8" xfId="0" applyFont="1" applyFill="1" applyBorder="1"/>
    <xf numFmtId="0" fontId="4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49" fontId="10" fillId="4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Cost per part</a:t>
            </a:r>
          </a:p>
        </c:rich>
      </c:tx>
      <c:layout>
        <c:manualLayout>
          <c:xMode val="edge"/>
          <c:yMode val="edge"/>
          <c:x val="0.40692698036021535"/>
          <c:y val="3.4858434152287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95836850419445"/>
          <c:y val="0.19172138783757875"/>
          <c:w val="0.78643689466779221"/>
          <c:h val="0.5925933805888796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Material!$B$31:$L$31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  <c:pt idx="8">
                  <c:v>250</c:v>
                </c:pt>
                <c:pt idx="9">
                  <c:v>500</c:v>
                </c:pt>
                <c:pt idx="10">
                  <c:v>1000</c:v>
                </c:pt>
              </c:numCache>
            </c:numRef>
          </c:xVal>
          <c:yVal>
            <c:numRef>
              <c:f>Material!$B$32:$L$32</c:f>
              <c:numCache>
                <c:formatCode>General</c:formatCode>
                <c:ptCount val="11"/>
                <c:pt idx="0">
                  <c:v>128.29244485000001</c:v>
                </c:pt>
                <c:pt idx="1">
                  <c:v>48.570222627777781</c:v>
                </c:pt>
                <c:pt idx="2">
                  <c:v>32.625778183333331</c:v>
                </c:pt>
                <c:pt idx="3">
                  <c:v>25.792444850000003</c:v>
                </c:pt>
                <c:pt idx="4">
                  <c:v>20.667444850000003</c:v>
                </c:pt>
                <c:pt idx="5">
                  <c:v>14.688278183333333</c:v>
                </c:pt>
                <c:pt idx="6">
                  <c:v>11.100778183333334</c:v>
                </c:pt>
                <c:pt idx="7">
                  <c:v>9.9049448500000015</c:v>
                </c:pt>
                <c:pt idx="8">
                  <c:v>9.1874448500000021</c:v>
                </c:pt>
                <c:pt idx="9">
                  <c:v>8.9482781833333345</c:v>
                </c:pt>
                <c:pt idx="10">
                  <c:v>8.8286948499999998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E2-4B60-A03D-7367589A799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\$#,##0.00" sourceLinked="0"/>
              <c:spPr>
                <a:solidFill>
                  <a:srgbClr val="FF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2-4B60-A03D-7367589A7994}"/>
                </c:ext>
              </c:extLst>
            </c:dLbl>
            <c:spPr>
              <a:solidFill>
                <a:srgbClr val="FF00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Material!$M$31</c:f>
              <c:numCache>
                <c:formatCode>General</c:formatCode>
                <c:ptCount val="1"/>
                <c:pt idx="0">
                  <c:v>1000</c:v>
                </c:pt>
              </c:numCache>
            </c:numRef>
          </c:xVal>
          <c:yVal>
            <c:numRef>
              <c:f>Material!$M$32</c:f>
              <c:numCache>
                <c:formatCode>General</c:formatCode>
                <c:ptCount val="1"/>
                <c:pt idx="0">
                  <c:v>8.8286948499999998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E2-4B60-A03D-7367589A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3424"/>
        <c:axId val="66068864"/>
      </c:scatterChart>
      <c:valAx>
        <c:axId val="64343424"/>
        <c:scaling>
          <c:logBase val="10"/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batch</a:t>
                </a:r>
              </a:p>
            </c:rich>
          </c:tx>
          <c:layout>
            <c:manualLayout>
              <c:xMode val="edge"/>
              <c:yMode val="edge"/>
              <c:x val="0.43578704988930866"/>
              <c:y val="0.882354114479765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68864"/>
        <c:crosses val="autoZero"/>
        <c:crossBetween val="midCat"/>
        <c:majorUnit val="10"/>
        <c:minorUnit val="10"/>
      </c:valAx>
      <c:valAx>
        <c:axId val="6606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US$</a:t>
                </a:r>
              </a:p>
            </c:rich>
          </c:tx>
          <c:layout>
            <c:manualLayout>
              <c:xMode val="edge"/>
              <c:yMode val="edge"/>
              <c:x val="2.7417066052638626E-2"/>
              <c:y val="0.4400877311726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43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Cost per part</a:t>
            </a:r>
          </a:p>
        </c:rich>
      </c:tx>
      <c:layout>
        <c:manualLayout>
          <c:xMode val="edge"/>
          <c:yMode val="edge"/>
          <c:x val="0.39159720103655282"/>
          <c:y val="3.3472914474139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62207079554877"/>
          <c:y val="0.18410102960776739"/>
          <c:w val="0.78151372739054537"/>
          <c:h val="0.6318012606993834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Mill!$C$2:$M$2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  <c:pt idx="8">
                  <c:v>250</c:v>
                </c:pt>
                <c:pt idx="9">
                  <c:v>500</c:v>
                </c:pt>
                <c:pt idx="10">
                  <c:v>1000</c:v>
                </c:pt>
              </c:numCache>
            </c:numRef>
          </c:xVal>
          <c:yVal>
            <c:numRef>
              <c:f>Mill!$C$23:$M$23</c:f>
              <c:numCache>
                <c:formatCode>0</c:formatCode>
                <c:ptCount val="11"/>
                <c:pt idx="0">
                  <c:v>123.90499736952862</c:v>
                </c:pt>
                <c:pt idx="1">
                  <c:v>44.182775147306394</c:v>
                </c:pt>
                <c:pt idx="2">
                  <c:v>28.238330702861955</c:v>
                </c:pt>
                <c:pt idx="3">
                  <c:v>21.404997369528619</c:v>
                </c:pt>
                <c:pt idx="4">
                  <c:v>16.279997369528619</c:v>
                </c:pt>
                <c:pt idx="5">
                  <c:v>10.300830702861955</c:v>
                </c:pt>
                <c:pt idx="6">
                  <c:v>6.7133307028619527</c:v>
                </c:pt>
                <c:pt idx="7">
                  <c:v>5.5174973695286198</c:v>
                </c:pt>
                <c:pt idx="8">
                  <c:v>4.7999973695286196</c:v>
                </c:pt>
                <c:pt idx="9">
                  <c:v>4.5608307028619528</c:v>
                </c:pt>
                <c:pt idx="10">
                  <c:v>4.441247369528619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3C-48E6-910D-BBF2703E6EC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\$#,##0.00" sourceLinked="0"/>
              <c:spPr>
                <a:solidFill>
                  <a:srgbClr val="FF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3C-48E6-910D-BBF2703E6EC6}"/>
                </c:ext>
              </c:extLst>
            </c:dLbl>
            <c:spPr>
              <a:solidFill>
                <a:srgbClr val="FF00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Mill!$N$2</c:f>
              <c:numCache>
                <c:formatCode>General</c:formatCode>
                <c:ptCount val="1"/>
                <c:pt idx="0">
                  <c:v>1000</c:v>
                </c:pt>
              </c:numCache>
            </c:numRef>
          </c:xVal>
          <c:yVal>
            <c:numRef>
              <c:f>Mill!$N$23</c:f>
              <c:numCache>
                <c:formatCode>0</c:formatCode>
                <c:ptCount val="1"/>
                <c:pt idx="0">
                  <c:v>4.441247369528619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3C-48E6-910D-BBF2703E6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35904"/>
        <c:axId val="104188544"/>
      </c:scatterChart>
      <c:valAx>
        <c:axId val="103835904"/>
        <c:scaling>
          <c:logBase val="10"/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batch</a:t>
                </a:r>
              </a:p>
            </c:rich>
          </c:tx>
          <c:layout>
            <c:manualLayout>
              <c:xMode val="edge"/>
              <c:yMode val="edge"/>
              <c:x val="0.4369754174656813"/>
              <c:y val="0.89958457649249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88544"/>
        <c:crosses val="autoZero"/>
        <c:crossBetween val="midCat"/>
        <c:majorUnit val="10"/>
        <c:minorUnit val="10"/>
      </c:valAx>
      <c:valAx>
        <c:axId val="10418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US$</a:t>
                </a:r>
              </a:p>
            </c:rich>
          </c:tx>
          <c:layout>
            <c:manualLayout>
              <c:xMode val="edge"/>
              <c:yMode val="edge"/>
              <c:x val="3.1932818968645943E-2"/>
              <c:y val="0.46025257401941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35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Cost per part</a:t>
            </a:r>
          </a:p>
        </c:rich>
      </c:tx>
      <c:layout>
        <c:manualLayout>
          <c:xMode val="edge"/>
          <c:yMode val="edge"/>
          <c:x val="0.39094031795278694"/>
          <c:y val="3.3402922755741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36270065088586"/>
          <c:y val="0.18371607515657623"/>
          <c:w val="0.781880635905574"/>
          <c:h val="0.632567849686847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Lathe!$C$2:$M$2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  <c:pt idx="8">
                  <c:v>250</c:v>
                </c:pt>
                <c:pt idx="9">
                  <c:v>500</c:v>
                </c:pt>
                <c:pt idx="10">
                  <c:v>1000</c:v>
                </c:pt>
              </c:numCache>
            </c:numRef>
          </c:xVal>
          <c:yVal>
            <c:numRef>
              <c:f>Lathe!$C$26:$M$26</c:f>
              <c:numCache>
                <c:formatCode>0</c:formatCode>
                <c:ptCount val="11"/>
                <c:pt idx="0">
                  <c:v>128.29244485000001</c:v>
                </c:pt>
                <c:pt idx="1">
                  <c:v>48.570222627777781</c:v>
                </c:pt>
                <c:pt idx="2">
                  <c:v>32.625778183333331</c:v>
                </c:pt>
                <c:pt idx="3">
                  <c:v>25.792444850000003</c:v>
                </c:pt>
                <c:pt idx="4">
                  <c:v>20.667444850000003</c:v>
                </c:pt>
                <c:pt idx="5">
                  <c:v>14.688278183333333</c:v>
                </c:pt>
                <c:pt idx="6">
                  <c:v>11.100778183333334</c:v>
                </c:pt>
                <c:pt idx="7">
                  <c:v>9.9049448500000015</c:v>
                </c:pt>
                <c:pt idx="8">
                  <c:v>9.1874448500000021</c:v>
                </c:pt>
                <c:pt idx="9">
                  <c:v>8.9482781833333345</c:v>
                </c:pt>
                <c:pt idx="10">
                  <c:v>8.8286948499999998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B8-4C77-8AED-6092F7B671A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\$#,##0.00" sourceLinked="0"/>
              <c:spPr>
                <a:solidFill>
                  <a:srgbClr val="FF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B8-4C77-8AED-6092F7B671AC}"/>
                </c:ext>
              </c:extLst>
            </c:dLbl>
            <c:spPr>
              <a:solidFill>
                <a:srgbClr val="FF00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Lathe!$N$2</c:f>
              <c:numCache>
                <c:formatCode>General</c:formatCode>
                <c:ptCount val="1"/>
                <c:pt idx="0">
                  <c:v>1000</c:v>
                </c:pt>
              </c:numCache>
            </c:numRef>
          </c:xVal>
          <c:yVal>
            <c:numRef>
              <c:f>Lathe!$N$26</c:f>
              <c:numCache>
                <c:formatCode>0</c:formatCode>
                <c:ptCount val="1"/>
                <c:pt idx="0">
                  <c:v>8.8286948499999998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B8-4C77-8AED-6092F7B67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13568"/>
        <c:axId val="53936128"/>
      </c:scatterChart>
      <c:valAx>
        <c:axId val="52413568"/>
        <c:scaling>
          <c:logBase val="10"/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batch</a:t>
                </a:r>
              </a:p>
            </c:rich>
          </c:tx>
          <c:layout>
            <c:manualLayout>
              <c:xMode val="edge"/>
              <c:yMode val="edge"/>
              <c:x val="0.43792027032479569"/>
              <c:y val="0.899791231732776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6128"/>
        <c:crosses val="autoZero"/>
        <c:crossBetween val="midCat"/>
        <c:majorUnit val="10"/>
        <c:minorUnit val="10"/>
      </c:valAx>
      <c:valAx>
        <c:axId val="5393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US$</a:t>
                </a:r>
              </a:p>
            </c:rich>
          </c:tx>
          <c:layout>
            <c:manualLayout>
              <c:xMode val="edge"/>
              <c:yMode val="edge"/>
              <c:x val="3.1879253395291643E-2"/>
              <c:y val="0.459290187891440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135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List" dx="20" fmlaLink="Material!$A$16" fmlaRange="Material!$A$13:$A$15" noThreeD="1" sel="2" val="0"/>
</file>

<file path=xl/ctrlProps/ctrlProp2.xml><?xml version="1.0" encoding="utf-8"?>
<formControlPr xmlns="http://schemas.microsoft.com/office/spreadsheetml/2009/9/main" objectType="List" dx="20" fmlaLink="Material!$A$11" fmlaRange="Material!$A$2:$A$9" sel="2" val="0"/>
</file>

<file path=xl/ctrlProps/ctrlProp3.xml><?xml version="1.0" encoding="utf-8"?>
<formControlPr xmlns="http://schemas.microsoft.com/office/spreadsheetml/2009/9/main" objectType="List" dx="20" fmlaLink="Material!$A$20" fmlaRange="Material!$A$18:$A$19" noThreeD="1" sel="1" val="0"/>
</file>

<file path=xl/ctrlProps/ctrlProp4.xml><?xml version="1.0" encoding="utf-8"?>
<formControlPr xmlns="http://schemas.microsoft.com/office/spreadsheetml/2009/9/main" objectType="List" dx="20" fmlaLink="Material!$A$24" fmlaRange="Material!$A$21:$A$23" noThreeD="1" sel="2" val="0"/>
</file>

<file path=xl/ctrlProps/ctrlProp5.xml><?xml version="1.0" encoding="utf-8"?>
<formControlPr xmlns="http://schemas.microsoft.com/office/spreadsheetml/2009/9/main" objectType="List" dx="20" fmlaLink="Material!$A$28" fmlaRange="Material!$A$25:$A$2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411480</xdr:colOff>
      <xdr:row>26</xdr:row>
      <xdr:rowOff>76200</xdr:rowOff>
    </xdr:from>
    <xdr:to>
      <xdr:col>10</xdr:col>
      <xdr:colOff>297180</xdr:colOff>
      <xdr:row>44</xdr:row>
      <xdr:rowOff>556260</xdr:rowOff>
    </xdr:to>
    <xdr:graphicFrame macro="">
      <xdr:nvGraphicFramePr>
        <xdr:cNvPr id="1039" name="Chart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5</xdr:row>
          <xdr:rowOff>45720</xdr:rowOff>
        </xdr:from>
        <xdr:to>
          <xdr:col>6</xdr:col>
          <xdr:colOff>266700</xdr:colOff>
          <xdr:row>7</xdr:row>
          <xdr:rowOff>137160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30480</xdr:rowOff>
        </xdr:from>
        <xdr:to>
          <xdr:col>3</xdr:col>
          <xdr:colOff>129540</xdr:colOff>
          <xdr:row>11</xdr:row>
          <xdr:rowOff>91440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10</xdr:row>
          <xdr:rowOff>30480</xdr:rowOff>
        </xdr:from>
        <xdr:to>
          <xdr:col>6</xdr:col>
          <xdr:colOff>0</xdr:colOff>
          <xdr:row>11</xdr:row>
          <xdr:rowOff>160020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22860</xdr:rowOff>
        </xdr:from>
        <xdr:to>
          <xdr:col>10</xdr:col>
          <xdr:colOff>243840</xdr:colOff>
          <xdr:row>11</xdr:row>
          <xdr:rowOff>106680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5</xdr:row>
          <xdr:rowOff>22860</xdr:rowOff>
        </xdr:from>
        <xdr:to>
          <xdr:col>10</xdr:col>
          <xdr:colOff>198120</xdr:colOff>
          <xdr:row>7</xdr:row>
          <xdr:rowOff>106680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24</xdr:row>
      <xdr:rowOff>76200</xdr:rowOff>
    </xdr:from>
    <xdr:to>
      <xdr:col>9</xdr:col>
      <xdr:colOff>449580</xdr:colOff>
      <xdr:row>46</xdr:row>
      <xdr:rowOff>30480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0</xdr:rowOff>
    </xdr:from>
    <xdr:to>
      <xdr:col>12</xdr:col>
      <xdr:colOff>274320</xdr:colOff>
      <xdr:row>48</xdr:row>
      <xdr:rowOff>129540</xdr:rowOff>
    </xdr:to>
    <xdr:graphicFrame macro="[0]!LathePlot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7"/>
  <sheetViews>
    <sheetView tabSelected="1" topLeftCell="A27" workbookViewId="0">
      <selection activeCell="D15" sqref="D15"/>
    </sheetView>
  </sheetViews>
  <sheetFormatPr defaultRowHeight="13.2" x14ac:dyDescent="0.25"/>
  <cols>
    <col min="1" max="1" width="3.44140625" customWidth="1"/>
    <col min="2" max="2" width="14.33203125" customWidth="1"/>
    <col min="3" max="3" width="7.44140625" customWidth="1"/>
    <col min="4" max="4" width="6.6640625" customWidth="1"/>
    <col min="5" max="5" width="7.5546875" customWidth="1"/>
    <col min="6" max="6" width="14.109375" customWidth="1"/>
    <col min="7" max="7" width="6.44140625" customWidth="1"/>
    <col min="8" max="8" width="5.109375" customWidth="1"/>
    <col min="9" max="9" width="6.5546875" customWidth="1"/>
    <col min="10" max="10" width="10.44140625" customWidth="1"/>
    <col min="11" max="11" width="7" customWidth="1"/>
  </cols>
  <sheetData>
    <row r="1" spans="1:11" ht="21" thickBot="1" x14ac:dyDescent="0.4">
      <c r="A1" s="28"/>
      <c r="B1" s="37" t="s">
        <v>100</v>
      </c>
      <c r="C1" s="37"/>
      <c r="D1" s="37"/>
      <c r="E1" s="37"/>
      <c r="F1" s="37"/>
      <c r="G1" s="37"/>
      <c r="H1" s="37"/>
      <c r="I1" s="37"/>
      <c r="J1" s="37"/>
      <c r="K1" s="38"/>
    </row>
    <row r="2" spans="1:11" ht="18" customHeight="1" thickBot="1" x14ac:dyDescent="0.4">
      <c r="A2" s="28"/>
      <c r="B2" s="11" t="s">
        <v>93</v>
      </c>
      <c r="C2" s="29"/>
      <c r="D2" s="39" t="s">
        <v>101</v>
      </c>
      <c r="E2" s="40"/>
      <c r="F2" s="41"/>
      <c r="G2" s="7"/>
      <c r="H2" s="7"/>
      <c r="I2" s="12" t="s">
        <v>95</v>
      </c>
      <c r="J2" s="33"/>
      <c r="K2" s="8"/>
    </row>
    <row r="3" spans="1:11" ht="16.5" customHeight="1" thickBot="1" x14ac:dyDescent="0.4">
      <c r="A3" s="19"/>
      <c r="B3" s="24" t="s">
        <v>94</v>
      </c>
      <c r="C3" s="30"/>
      <c r="D3" s="39" t="s">
        <v>102</v>
      </c>
      <c r="E3" s="40"/>
      <c r="F3" s="41"/>
      <c r="G3" s="9"/>
      <c r="H3" s="9"/>
      <c r="I3" s="9"/>
      <c r="J3" s="9"/>
      <c r="K3" s="10"/>
    </row>
    <row r="4" spans="1:11" ht="16.5" customHeight="1" x14ac:dyDescent="0.35">
      <c r="A4" s="31" t="s">
        <v>98</v>
      </c>
      <c r="B4" s="25"/>
      <c r="C4" s="13"/>
      <c r="D4" s="13"/>
      <c r="E4" s="13"/>
      <c r="F4" s="13"/>
      <c r="G4" s="13"/>
      <c r="H4" s="13"/>
      <c r="I4" s="13"/>
      <c r="J4" s="13"/>
      <c r="K4" s="14"/>
    </row>
    <row r="5" spans="1:11" x14ac:dyDescent="0.25">
      <c r="A5" s="15"/>
      <c r="B5" s="16" t="s">
        <v>37</v>
      </c>
      <c r="C5" s="16"/>
      <c r="D5" s="16"/>
      <c r="E5" s="16" t="s">
        <v>40</v>
      </c>
      <c r="F5" s="16"/>
      <c r="G5" s="16"/>
      <c r="H5" s="16" t="s">
        <v>39</v>
      </c>
      <c r="I5" s="6"/>
      <c r="J5" s="16"/>
      <c r="K5" s="17"/>
    </row>
    <row r="6" spans="1:11" x14ac:dyDescent="0.25">
      <c r="A6" s="15"/>
      <c r="B6" s="16"/>
      <c r="C6" s="16"/>
      <c r="D6" s="16"/>
      <c r="E6" s="16"/>
      <c r="F6" s="16"/>
      <c r="G6" s="16"/>
      <c r="H6" s="16"/>
      <c r="J6" s="16"/>
      <c r="K6" s="17"/>
    </row>
    <row r="7" spans="1:11" x14ac:dyDescent="0.25">
      <c r="A7" s="15"/>
      <c r="B7" s="16"/>
      <c r="C7" s="16"/>
      <c r="D7" s="16"/>
      <c r="E7" s="16"/>
      <c r="F7" s="16"/>
      <c r="G7" s="16"/>
      <c r="H7" s="16"/>
      <c r="J7" s="16"/>
      <c r="K7" s="17"/>
    </row>
    <row r="8" spans="1:11" x14ac:dyDescent="0.25">
      <c r="A8" s="15"/>
      <c r="B8" s="16"/>
      <c r="C8" s="16"/>
      <c r="D8" s="16"/>
      <c r="E8" s="16"/>
      <c r="F8" s="16"/>
      <c r="G8" s="16"/>
      <c r="H8" s="16"/>
      <c r="J8" s="16"/>
      <c r="K8" s="17"/>
    </row>
    <row r="9" spans="1:11" x14ac:dyDescent="0.25">
      <c r="A9" s="15"/>
      <c r="B9" s="16"/>
      <c r="C9" s="16">
        <v>1</v>
      </c>
      <c r="D9" s="16"/>
      <c r="E9" s="16"/>
      <c r="F9" s="16"/>
      <c r="G9" s="16"/>
      <c r="H9" s="16" t="s">
        <v>41</v>
      </c>
      <c r="I9" s="6"/>
      <c r="J9" s="16"/>
      <c r="K9" s="17"/>
    </row>
    <row r="10" spans="1:11" x14ac:dyDescent="0.25">
      <c r="A10" s="15"/>
      <c r="B10" s="16"/>
      <c r="C10" s="16"/>
      <c r="D10" s="16"/>
      <c r="E10" s="16" t="s">
        <v>38</v>
      </c>
      <c r="F10" s="16"/>
      <c r="G10" s="16"/>
      <c r="H10" s="16"/>
      <c r="I10" s="16"/>
      <c r="J10" s="16"/>
      <c r="K10" s="17"/>
    </row>
    <row r="11" spans="1:11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8" thickBot="1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15"/>
      <c r="B14" s="16" t="s">
        <v>65</v>
      </c>
      <c r="C14" s="16"/>
      <c r="D14" s="34">
        <v>4</v>
      </c>
      <c r="E14" s="16" t="s">
        <v>87</v>
      </c>
      <c r="F14" s="16" t="s">
        <v>16</v>
      </c>
      <c r="G14" s="16"/>
      <c r="H14" s="34">
        <v>2</v>
      </c>
      <c r="I14" s="16"/>
      <c r="J14" s="16"/>
      <c r="K14" s="17"/>
    </row>
    <row r="15" spans="1:11" x14ac:dyDescent="0.25">
      <c r="A15" s="15"/>
      <c r="B15" s="16" t="str">
        <f>IF(Material!A20=2, "height","outside diameter")</f>
        <v>outside diameter</v>
      </c>
      <c r="C15" s="16"/>
      <c r="D15" s="35">
        <v>2.25</v>
      </c>
      <c r="E15" s="16" t="s">
        <v>87</v>
      </c>
      <c r="F15" s="16" t="s">
        <v>66</v>
      </c>
      <c r="G15" s="16"/>
      <c r="H15" s="35">
        <v>1000</v>
      </c>
      <c r="I15" s="16"/>
      <c r="J15" s="16"/>
      <c r="K15" s="17"/>
    </row>
    <row r="16" spans="1:11" ht="13.8" thickBot="1" x14ac:dyDescent="0.3">
      <c r="A16" s="15"/>
      <c r="B16" s="16" t="str">
        <f>IF(Material!A20=2, "width","inside diameter")</f>
        <v>inside diameter</v>
      </c>
      <c r="C16" s="16"/>
      <c r="D16" s="35">
        <v>0</v>
      </c>
      <c r="E16" s="16" t="s">
        <v>87</v>
      </c>
      <c r="F16" s="16" t="s">
        <v>19</v>
      </c>
      <c r="G16" s="16"/>
      <c r="H16" s="36">
        <v>35</v>
      </c>
      <c r="I16" s="16" t="s">
        <v>60</v>
      </c>
      <c r="J16" s="16"/>
      <c r="K16" s="17"/>
    </row>
    <row r="17" spans="1:11" x14ac:dyDescent="0.25">
      <c r="A17" s="15"/>
      <c r="B17" s="16" t="s">
        <v>63</v>
      </c>
      <c r="C17" s="16"/>
      <c r="D17" s="35">
        <v>32</v>
      </c>
      <c r="E17" s="16"/>
      <c r="F17" s="16"/>
      <c r="G17" s="16"/>
      <c r="H17" s="16"/>
      <c r="I17" s="16"/>
      <c r="J17" s="16"/>
      <c r="K17" s="17"/>
    </row>
    <row r="18" spans="1:11" x14ac:dyDescent="0.25">
      <c r="A18" s="15"/>
      <c r="B18" s="16" t="str">
        <f>IF(Material!A20=2, "Number of surfaces", "Number of Faces")</f>
        <v>Number of Faces</v>
      </c>
      <c r="C18" s="16"/>
      <c r="D18" s="35">
        <v>7</v>
      </c>
      <c r="E18" s="16"/>
      <c r="F18" s="16"/>
      <c r="G18" s="16"/>
      <c r="H18" s="16"/>
      <c r="I18" s="16"/>
      <c r="J18" s="16"/>
      <c r="K18" s="17"/>
    </row>
    <row r="19" spans="1:11" ht="13.8" thickBot="1" x14ac:dyDescent="0.3">
      <c r="A19" s="15"/>
      <c r="B19" s="16" t="str">
        <f>IF(Material!A20=2, "", "Number of diameters")</f>
        <v>Number of diameters</v>
      </c>
      <c r="C19" s="16"/>
      <c r="D19" s="35">
        <v>3</v>
      </c>
      <c r="E19" s="16"/>
      <c r="F19" s="16"/>
      <c r="G19" s="16"/>
      <c r="H19" s="16"/>
      <c r="I19" s="16"/>
      <c r="J19" s="16"/>
      <c r="K19" s="17"/>
    </row>
    <row r="20" spans="1:11" ht="16.5" customHeight="1" x14ac:dyDescent="0.25">
      <c r="A20" s="32" t="s">
        <v>99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15"/>
      <c r="B21" s="16" t="s">
        <v>84</v>
      </c>
      <c r="C21" s="18">
        <f>IF(Material!A20=2,Mill!N21,Lathe!$N$24)</f>
        <v>1.4395643999999999</v>
      </c>
      <c r="D21" s="16" t="s">
        <v>59</v>
      </c>
      <c r="E21" s="16"/>
      <c r="F21" s="16"/>
      <c r="G21" s="16"/>
      <c r="H21" s="16"/>
      <c r="I21" s="16"/>
      <c r="J21" s="16"/>
      <c r="K21" s="17"/>
    </row>
    <row r="22" spans="1:11" x14ac:dyDescent="0.25">
      <c r="A22" s="15"/>
      <c r="B22" s="16" t="s">
        <v>85</v>
      </c>
      <c r="C22" s="16">
        <f>Material!C10</f>
        <v>0.33</v>
      </c>
      <c r="D22" s="16" t="s">
        <v>60</v>
      </c>
      <c r="E22" s="16"/>
      <c r="F22" s="16"/>
      <c r="G22" s="16"/>
      <c r="H22" s="16"/>
      <c r="I22" s="16"/>
      <c r="J22" s="16"/>
      <c r="K22" s="17"/>
    </row>
    <row r="23" spans="1:11" x14ac:dyDescent="0.25">
      <c r="A23" s="15"/>
      <c r="B23" s="16" t="s">
        <v>88</v>
      </c>
      <c r="C23" s="18">
        <f>IF(Material!A20=2,Mill!N22,Lathe!$N$25)</f>
        <v>1.4845507874999999</v>
      </c>
      <c r="D23" s="16" t="s">
        <v>60</v>
      </c>
      <c r="E23" s="16"/>
      <c r="F23" s="16"/>
      <c r="G23" s="16"/>
      <c r="H23" s="16"/>
      <c r="I23" s="16"/>
      <c r="J23" s="16"/>
      <c r="K23" s="17"/>
    </row>
    <row r="24" spans="1:11" x14ac:dyDescent="0.25">
      <c r="A24" s="15"/>
      <c r="B24" s="16" t="s">
        <v>89</v>
      </c>
      <c r="C24" s="18">
        <f>IF(Material!A20=2,Mill!N19,Lathe!$N$22)</f>
        <v>0.2098326875</v>
      </c>
      <c r="D24" s="16" t="s">
        <v>86</v>
      </c>
      <c r="E24" s="16"/>
      <c r="F24" s="16"/>
      <c r="G24" s="16"/>
      <c r="H24" s="16"/>
      <c r="I24" s="16"/>
      <c r="J24" s="16"/>
      <c r="K24" s="17"/>
    </row>
    <row r="25" spans="1:11" x14ac:dyDescent="0.25">
      <c r="A25" s="15"/>
      <c r="B25" s="16" t="s">
        <v>91</v>
      </c>
      <c r="C25" s="18">
        <f>IF(Material!A20=2,Mill!$N$20,Lathe!$N$23)</f>
        <v>7.3441440624999998</v>
      </c>
      <c r="D25" s="16" t="s">
        <v>60</v>
      </c>
      <c r="E25" s="16"/>
      <c r="F25" s="16"/>
      <c r="G25" s="16"/>
      <c r="H25" s="16"/>
      <c r="I25" s="16"/>
      <c r="J25" s="16"/>
      <c r="K25" s="17"/>
    </row>
    <row r="26" spans="1:11" x14ac:dyDescent="0.25">
      <c r="A26" s="15"/>
      <c r="B26" s="16" t="s">
        <v>90</v>
      </c>
      <c r="C26" s="18">
        <f>IF(Material!A20=2,Mill!$N$23,Lathe!$N$26)</f>
        <v>8.8286948499999998</v>
      </c>
      <c r="D26" s="16" t="s">
        <v>60</v>
      </c>
      <c r="E26" s="16"/>
      <c r="F26" s="16"/>
      <c r="G26" s="16"/>
      <c r="H26" s="16"/>
      <c r="I26" s="16"/>
      <c r="J26" s="16"/>
      <c r="K26" s="17"/>
    </row>
    <row r="27" spans="1:11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r="35" spans="1:1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7"/>
    </row>
    <row r="39" spans="1:11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48" customHeight="1" thickBot="1" x14ac:dyDescent="0.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1"/>
    </row>
    <row r="46" spans="1:11" x14ac:dyDescent="0.25">
      <c r="A46" s="28"/>
      <c r="B46" s="26" t="s">
        <v>96</v>
      </c>
      <c r="C46" s="22"/>
      <c r="D46" s="22"/>
      <c r="E46" s="22"/>
      <c r="F46" s="22"/>
      <c r="G46" s="22" t="s">
        <v>97</v>
      </c>
      <c r="H46" s="22"/>
      <c r="I46" s="22"/>
      <c r="J46" s="22"/>
      <c r="K46" s="23"/>
    </row>
    <row r="47" spans="1:11" ht="13.8" thickBot="1" x14ac:dyDescent="0.3">
      <c r="A47" s="19"/>
      <c r="B47" s="27" t="s">
        <v>103</v>
      </c>
      <c r="C47" s="20"/>
      <c r="D47" s="20"/>
      <c r="E47" s="20"/>
      <c r="F47" s="20"/>
      <c r="G47" s="42" t="s">
        <v>104</v>
      </c>
      <c r="H47" s="20"/>
      <c r="I47" s="20"/>
      <c r="J47" s="20"/>
      <c r="K47" s="21"/>
    </row>
  </sheetData>
  <sheetProtection sheet="1" objects="1" scenarios="1"/>
  <mergeCells count="3">
    <mergeCell ref="B1:K1"/>
    <mergeCell ref="D2:F2"/>
    <mergeCell ref="D3:F3"/>
  </mergeCells>
  <phoneticPr fontId="1" type="noConversion"/>
  <pageMargins left="0.75" right="0.75" top="1" bottom="1" header="0.5" footer="0.5"/>
  <pageSetup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List Box 4">
              <controlPr defaultSize="0" autoLine="0" autoPict="0">
                <anchor moveWithCells="1">
                  <from>
                    <xdr:col>4</xdr:col>
                    <xdr:colOff>281940</xdr:colOff>
                    <xdr:row>5</xdr:row>
                    <xdr:rowOff>45720</xdr:rowOff>
                  </from>
                  <to>
                    <xdr:col>6</xdr:col>
                    <xdr:colOff>266700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 sizeWithCells="1">
                  <from>
                    <xdr:col>1</xdr:col>
                    <xdr:colOff>0</xdr:colOff>
                    <xdr:row>5</xdr:row>
                    <xdr:rowOff>30480</xdr:rowOff>
                  </from>
                  <to>
                    <xdr:col>3</xdr:col>
                    <xdr:colOff>129540</xdr:colOff>
                    <xdr:row>11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List Box 8">
              <controlPr defaultSize="0" autoLine="0" autoPict="0">
                <anchor moveWithCells="1">
                  <from>
                    <xdr:col>4</xdr:col>
                    <xdr:colOff>297180</xdr:colOff>
                    <xdr:row>10</xdr:row>
                    <xdr:rowOff>30480</xdr:rowOff>
                  </from>
                  <to>
                    <xdr:col>6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List Box 9">
              <controlPr defaultSize="0" autoLine="0" autoPict="0">
                <anchor moveWithCells="1">
                  <from>
                    <xdr:col>7</xdr:col>
                    <xdr:colOff>342900</xdr:colOff>
                    <xdr:row>9</xdr:row>
                    <xdr:rowOff>22860</xdr:rowOff>
                  </from>
                  <to>
                    <xdr:col>10</xdr:col>
                    <xdr:colOff>243840</xdr:colOff>
                    <xdr:row>11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List Box 10">
              <controlPr defaultSize="0" autoLine="0" autoPict="0">
                <anchor moveWithCells="1">
                  <from>
                    <xdr:col>7</xdr:col>
                    <xdr:colOff>320040</xdr:colOff>
                    <xdr:row>5</xdr:row>
                    <xdr:rowOff>22860</xdr:rowOff>
                  </from>
                  <to>
                    <xdr:col>10</xdr:col>
                    <xdr:colOff>198120</xdr:colOff>
                    <xdr:row>7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23"/>
  <sheetViews>
    <sheetView topLeftCell="A22" workbookViewId="0">
      <selection activeCell="M23" sqref="M23"/>
    </sheetView>
  </sheetViews>
  <sheetFormatPr defaultRowHeight="13.2" x14ac:dyDescent="0.25"/>
  <cols>
    <col min="2" max="2" width="14.109375" customWidth="1"/>
  </cols>
  <sheetData>
    <row r="1" spans="1:15" x14ac:dyDescent="0.25">
      <c r="A1" t="s">
        <v>14</v>
      </c>
    </row>
    <row r="2" spans="1:15" x14ac:dyDescent="0.25">
      <c r="A2" t="s">
        <v>18</v>
      </c>
      <c r="B2" t="s">
        <v>17</v>
      </c>
      <c r="C2" s="2">
        <v>1</v>
      </c>
      <c r="D2">
        <v>3</v>
      </c>
      <c r="E2">
        <v>5</v>
      </c>
      <c r="F2">
        <v>7</v>
      </c>
      <c r="G2">
        <v>10</v>
      </c>
      <c r="H2">
        <v>20</v>
      </c>
      <c r="I2">
        <v>50</v>
      </c>
      <c r="J2">
        <v>100</v>
      </c>
      <c r="K2">
        <v>250</v>
      </c>
      <c r="L2">
        <v>500</v>
      </c>
      <c r="M2">
        <v>1000</v>
      </c>
      <c r="N2">
        <f>Main!H15</f>
        <v>1000</v>
      </c>
      <c r="O2" s="4"/>
    </row>
    <row r="3" spans="1:15" x14ac:dyDescent="0.25">
      <c r="A3" s="1" t="s">
        <v>30</v>
      </c>
      <c r="C3">
        <f>Main!$D14</f>
        <v>4</v>
      </c>
      <c r="D3">
        <f>Main!$D14</f>
        <v>4</v>
      </c>
      <c r="E3">
        <f>Main!$D14</f>
        <v>4</v>
      </c>
      <c r="F3">
        <f>Main!$D14</f>
        <v>4</v>
      </c>
      <c r="G3">
        <f>Main!$D14</f>
        <v>4</v>
      </c>
      <c r="H3">
        <f>Main!$D14</f>
        <v>4</v>
      </c>
      <c r="I3">
        <f>Main!$D14</f>
        <v>4</v>
      </c>
      <c r="J3">
        <f>Main!$D14</f>
        <v>4</v>
      </c>
      <c r="K3">
        <f>Main!$D14</f>
        <v>4</v>
      </c>
      <c r="L3">
        <f>Main!$D14</f>
        <v>4</v>
      </c>
      <c r="M3">
        <f>Main!$D14</f>
        <v>4</v>
      </c>
      <c r="N3">
        <f>Main!$D14</f>
        <v>4</v>
      </c>
    </row>
    <row r="4" spans="1:15" x14ac:dyDescent="0.25">
      <c r="A4" s="1" t="s">
        <v>35</v>
      </c>
      <c r="C4">
        <f>Main!$D15</f>
        <v>2.25</v>
      </c>
      <c r="D4">
        <f>Main!$D15</f>
        <v>2.25</v>
      </c>
      <c r="E4">
        <f>Main!$D15</f>
        <v>2.25</v>
      </c>
      <c r="F4">
        <f>Main!$D15</f>
        <v>2.25</v>
      </c>
      <c r="G4">
        <f>Main!$D15</f>
        <v>2.25</v>
      </c>
      <c r="H4">
        <f>Main!$D15</f>
        <v>2.25</v>
      </c>
      <c r="I4">
        <f>Main!$D15</f>
        <v>2.25</v>
      </c>
      <c r="J4">
        <f>Main!$D15</f>
        <v>2.25</v>
      </c>
      <c r="K4">
        <f>Main!$D15</f>
        <v>2.25</v>
      </c>
      <c r="L4">
        <f>Main!$D15</f>
        <v>2.25</v>
      </c>
      <c r="M4">
        <f>Main!$D15</f>
        <v>2.25</v>
      </c>
      <c r="N4">
        <f>Main!$D15</f>
        <v>2.25</v>
      </c>
    </row>
    <row r="5" spans="1:15" x14ac:dyDescent="0.25">
      <c r="A5" s="1" t="s">
        <v>29</v>
      </c>
      <c r="C5">
        <f>Main!$D16</f>
        <v>0</v>
      </c>
      <c r="D5">
        <f>Main!$D16</f>
        <v>0</v>
      </c>
      <c r="E5">
        <f>Main!$D16</f>
        <v>0</v>
      </c>
      <c r="F5">
        <f>Main!$D16</f>
        <v>0</v>
      </c>
      <c r="G5">
        <f>Main!$D16</f>
        <v>0</v>
      </c>
      <c r="H5">
        <f>Main!$D16</f>
        <v>0</v>
      </c>
      <c r="I5">
        <f>Main!$D16</f>
        <v>0</v>
      </c>
      <c r="J5">
        <f>Main!$D16</f>
        <v>0</v>
      </c>
      <c r="K5">
        <f>Main!$D16</f>
        <v>0</v>
      </c>
      <c r="L5">
        <f>Main!$D16</f>
        <v>0</v>
      </c>
      <c r="M5">
        <f>Main!$D16</f>
        <v>0</v>
      </c>
      <c r="N5">
        <f>Main!$D16</f>
        <v>0</v>
      </c>
    </row>
    <row r="6" spans="1:15" x14ac:dyDescent="0.25">
      <c r="A6" s="3" t="s">
        <v>36</v>
      </c>
      <c r="C6">
        <f>Main!$D17/100</f>
        <v>0.32</v>
      </c>
      <c r="D6">
        <f>Main!$D17/100</f>
        <v>0.32</v>
      </c>
      <c r="E6">
        <f>Main!$D17/100</f>
        <v>0.32</v>
      </c>
      <c r="F6">
        <f>Main!$D17/100</f>
        <v>0.32</v>
      </c>
      <c r="G6">
        <f>Main!$D17/100</f>
        <v>0.32</v>
      </c>
      <c r="H6">
        <f>Main!$D17/100</f>
        <v>0.32</v>
      </c>
      <c r="I6">
        <f>Main!$D17/100</f>
        <v>0.32</v>
      </c>
      <c r="J6">
        <f>Main!$D17/100</f>
        <v>0.32</v>
      </c>
      <c r="K6">
        <f>Main!$D17/100</f>
        <v>0.32</v>
      </c>
      <c r="L6">
        <f>Main!$D17/100</f>
        <v>0.32</v>
      </c>
      <c r="M6">
        <f>Main!$D17/100</f>
        <v>0.32</v>
      </c>
      <c r="N6">
        <f>Main!$D17/100</f>
        <v>0.32</v>
      </c>
    </row>
    <row r="7" spans="1:15" x14ac:dyDescent="0.25">
      <c r="A7" t="s">
        <v>28</v>
      </c>
      <c r="B7" t="s">
        <v>33</v>
      </c>
      <c r="C7">
        <f>60*Main!$D18</f>
        <v>420</v>
      </c>
      <c r="D7">
        <f>60*Main!$D18</f>
        <v>420</v>
      </c>
      <c r="E7">
        <f>60*Main!$D18</f>
        <v>420</v>
      </c>
      <c r="F7">
        <f>60*Main!$D18</f>
        <v>420</v>
      </c>
      <c r="G7">
        <f>60*Main!$D18</f>
        <v>420</v>
      </c>
      <c r="H7">
        <f>60*Main!$D18</f>
        <v>420</v>
      </c>
      <c r="I7">
        <f>60*Main!$D18</f>
        <v>420</v>
      </c>
      <c r="J7">
        <f>60*Main!$D18</f>
        <v>420</v>
      </c>
      <c r="K7">
        <f>60*Main!$D18</f>
        <v>420</v>
      </c>
      <c r="L7">
        <f>60*Main!$D18</f>
        <v>420</v>
      </c>
      <c r="M7">
        <f>60*Main!$D18</f>
        <v>420</v>
      </c>
      <c r="N7">
        <f>60*Main!$D18</f>
        <v>420</v>
      </c>
    </row>
    <row r="8" spans="1:15" x14ac:dyDescent="0.25">
      <c r="A8" t="s">
        <v>34</v>
      </c>
      <c r="B8" t="s">
        <v>64</v>
      </c>
      <c r="C8">
        <f>C3*C4*C5*(1-C6)</f>
        <v>0</v>
      </c>
      <c r="D8">
        <f t="shared" ref="D8:M8" si="0">D3*D4*D5*(1-D6)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>N3*N4*N5*(1-N6)</f>
        <v>0</v>
      </c>
    </row>
    <row r="9" spans="1:15" x14ac:dyDescent="0.25">
      <c r="A9" s="3" t="s">
        <v>46</v>
      </c>
      <c r="B9" t="s">
        <v>72</v>
      </c>
      <c r="C9">
        <f>C3*C4*C5*Material!$D11</f>
        <v>0</v>
      </c>
      <c r="D9">
        <f>D3*D4*D5*Material!$D11</f>
        <v>0</v>
      </c>
      <c r="E9">
        <f>E3*E4*E5*Material!$D11</f>
        <v>0</v>
      </c>
      <c r="F9">
        <f>F3*F4*F5*Material!$D11</f>
        <v>0</v>
      </c>
      <c r="G9">
        <f>G3*G4*G5*Material!$D11</f>
        <v>0</v>
      </c>
      <c r="H9">
        <f>H3*H4*H5*Material!$D11</f>
        <v>0</v>
      </c>
      <c r="I9">
        <f>I3*I4*I5*Material!$D11</f>
        <v>0</v>
      </c>
      <c r="J9">
        <f>J3*J4*J5*Material!$D11</f>
        <v>0</v>
      </c>
      <c r="K9">
        <f>K3*K4*K5*Material!$D11</f>
        <v>0</v>
      </c>
      <c r="L9">
        <f>L3*L4*L5*Material!$D11</f>
        <v>0</v>
      </c>
      <c r="M9">
        <f>M3*M4*M5*Material!$D11</f>
        <v>0</v>
      </c>
      <c r="N9">
        <f>N3*N4*N5*Material!$D11</f>
        <v>0</v>
      </c>
    </row>
    <row r="10" spans="1:15" x14ac:dyDescent="0.25">
      <c r="A10" t="s">
        <v>31</v>
      </c>
      <c r="B10" s="3"/>
      <c r="C10" s="3">
        <f>IF(Material!$A11=1,143.8,IF(Material!$A11=2,23.1,IF(Material!$A11=3,1.1,IF(Material!$A11=4,13.6,IF(Material!$A11=5,5.55,IF(Material!$A11=6,11,IF(Material!$A11=7,76.2,166.2)))))))</f>
        <v>23.1</v>
      </c>
      <c r="D10" s="3">
        <f>IF(Material!$A11=1,143.8,IF(Material!$A11=2,23.1,IF(Material!$A11=3,1.1,IF(Material!$A11=4,13.6,IF(Material!$A11=5,5.55,IF(Material!$A11=6,11,IF(Material!$A11=7,76.2,166.2)))))))</f>
        <v>23.1</v>
      </c>
      <c r="E10" s="3">
        <f>IF(Material!$A11=1,143.8,IF(Material!$A11=2,23.1,IF(Material!$A11=3,1.1,IF(Material!$A11=4,13.6,IF(Material!$A11=5,5.55,IF(Material!$A11=6,11,IF(Material!$A11=7,76.2,166.2)))))))</f>
        <v>23.1</v>
      </c>
      <c r="F10" s="3">
        <f>IF(Material!$A11=1,143.8,IF(Material!$A11=2,23.1,IF(Material!$A11=3,1.1,IF(Material!$A11=4,13.6,IF(Material!$A11=5,5.55,IF(Material!$A11=6,11,IF(Material!$A11=7,76.2,166.2)))))))</f>
        <v>23.1</v>
      </c>
      <c r="G10" s="3">
        <f>IF(Material!$A11=1,143.8,IF(Material!$A11=2,23.1,IF(Material!$A11=3,1.1,IF(Material!$A11=4,13.6,IF(Material!$A11=5,5.55,IF(Material!$A11=6,11,IF(Material!$A11=7,76.2,166.2)))))))</f>
        <v>23.1</v>
      </c>
      <c r="H10" s="3">
        <f>IF(Material!$A11=1,143.8,IF(Material!$A11=2,23.1,IF(Material!$A11=3,1.1,IF(Material!$A11=4,13.6,IF(Material!$A11=5,5.55,IF(Material!$A11=6,11,IF(Material!$A11=7,76.2,166.2)))))))</f>
        <v>23.1</v>
      </c>
      <c r="I10" s="3">
        <f>IF(Material!$A11=1,143.8,IF(Material!$A11=2,23.1,IF(Material!$A11=3,1.1,IF(Material!$A11=4,13.6,IF(Material!$A11=5,5.55,IF(Material!$A11=6,11,IF(Material!$A11=7,76.2,166.2)))))))</f>
        <v>23.1</v>
      </c>
      <c r="J10" s="3">
        <f>IF(Material!$A11=1,143.8,IF(Material!$A11=2,23.1,IF(Material!$A11=3,1.1,IF(Material!$A11=4,13.6,IF(Material!$A11=5,5.55,IF(Material!$A11=6,11,IF(Material!$A11=7,76.2,166.2)))))))</f>
        <v>23.1</v>
      </c>
      <c r="K10" s="3">
        <f>IF(Material!$A11=1,143.8,IF(Material!$A11=2,23.1,IF(Material!$A11=3,1.1,IF(Material!$A11=4,13.6,IF(Material!$A11=5,5.55,IF(Material!$A11=6,11,IF(Material!$A11=7,76.2,166.2)))))))</f>
        <v>23.1</v>
      </c>
      <c r="L10" s="3">
        <f>IF(Material!$A11=1,143.8,IF(Material!$A11=2,23.1,IF(Material!$A11=3,1.1,IF(Material!$A11=4,13.6,IF(Material!$A11=5,5.55,IF(Material!$A11=6,11,IF(Material!$A11=7,76.2,166.2)))))))</f>
        <v>23.1</v>
      </c>
      <c r="M10" s="3">
        <f>IF(Material!$A11=1,143.8,IF(Material!$A11=2,23.1,IF(Material!$A11=3,1.1,IF(Material!$A11=4,13.6,IF(Material!$A11=5,5.55,IF(Material!$A11=6,11,IF(Material!$A11=7,76.2,166.2)))))))</f>
        <v>23.1</v>
      </c>
      <c r="N10" s="3">
        <f>IF(Material!$A11=1,143.8,IF(Material!$A11=2,23.1,IF(Material!$A11=3,1.1,IF(Material!$A11=4,13.6,IF(Material!$A11=5,5.55,IF(Material!$A11=6,11,IF(Material!$A11=7,76.2,166.2)))))))</f>
        <v>23.1</v>
      </c>
      <c r="O10" s="3"/>
    </row>
    <row r="11" spans="1:15" x14ac:dyDescent="0.25">
      <c r="A11" t="s">
        <v>32</v>
      </c>
      <c r="B11" t="s">
        <v>73</v>
      </c>
      <c r="C11">
        <f>IF(Material!$A11=1,0.32,IF(Material!$A11=2,1.1,IF(Material!$A11=3,2.25,IF(Material!$A11=4,1.45,IF(Material!$A11=5,1.65,IF(Material!$A11=6,1.1,IF(Material!$A11=7,1,0.16)))))))</f>
        <v>1.1000000000000001</v>
      </c>
      <c r="D11">
        <f>IF(Material!$A11=1,0.32,IF(Material!$A11=2,1.1,IF(Material!$A11=3,2.25,IF(Material!$A11=4,1.45,IF(Material!$A11=5,1.65,IF(Material!$A11=6,1.1,IF(Material!$A11=7,1,0.16)))))))</f>
        <v>1.1000000000000001</v>
      </c>
      <c r="E11">
        <f>IF(Material!$A11=1,0.32,IF(Material!$A11=2,1.1,IF(Material!$A11=3,2.25,IF(Material!$A11=4,1.45,IF(Material!$A11=5,1.65,IF(Material!$A11=6,1.1,IF(Material!$A11=7,1,0.16)))))))</f>
        <v>1.1000000000000001</v>
      </c>
      <c r="F11">
        <f>IF(Material!$A11=1,0.32,IF(Material!$A11=2,1.1,IF(Material!$A11=3,2.25,IF(Material!$A11=4,1.45,IF(Material!$A11=5,1.65,IF(Material!$A11=6,1.1,IF(Material!$A11=7,1,0.16)))))))</f>
        <v>1.1000000000000001</v>
      </c>
      <c r="G11">
        <f>IF(Material!$A11=1,0.32,IF(Material!$A11=2,1.1,IF(Material!$A11=3,2.25,IF(Material!$A11=4,1.45,IF(Material!$A11=5,1.65,IF(Material!$A11=6,1.1,IF(Material!$A11=7,1,0.16)))))))</f>
        <v>1.1000000000000001</v>
      </c>
      <c r="H11">
        <f>IF(Material!$A11=1,0.32,IF(Material!$A11=2,1.1,IF(Material!$A11=3,2.25,IF(Material!$A11=4,1.45,IF(Material!$A11=5,1.65,IF(Material!$A11=6,1.1,IF(Material!$A11=7,1,0.16)))))))</f>
        <v>1.1000000000000001</v>
      </c>
      <c r="I11">
        <f>IF(Material!$A11=1,0.32,IF(Material!$A11=2,1.1,IF(Material!$A11=3,2.25,IF(Material!$A11=4,1.45,IF(Material!$A11=5,1.65,IF(Material!$A11=6,1.1,IF(Material!$A11=7,1,0.16)))))))</f>
        <v>1.1000000000000001</v>
      </c>
      <c r="J11">
        <f>IF(Material!$A11=1,0.32,IF(Material!$A11=2,1.1,IF(Material!$A11=3,2.25,IF(Material!$A11=4,1.45,IF(Material!$A11=5,1.65,IF(Material!$A11=6,1.1,IF(Material!$A11=7,1,0.16)))))))</f>
        <v>1.1000000000000001</v>
      </c>
      <c r="K11">
        <f>IF(Material!$A11=1,0.32,IF(Material!$A11=2,1.1,IF(Material!$A11=3,2.25,IF(Material!$A11=4,1.45,IF(Material!$A11=5,1.65,IF(Material!$A11=6,1.1,IF(Material!$A11=7,1,0.16)))))))</f>
        <v>1.1000000000000001</v>
      </c>
      <c r="L11">
        <f>IF(Material!$A11=1,0.32,IF(Material!$A11=2,1.1,IF(Material!$A11=3,2.25,IF(Material!$A11=4,1.45,IF(Material!$A11=5,1.65,IF(Material!$A11=6,1.1,IF(Material!$A11=7,1,0.16)))))))</f>
        <v>1.1000000000000001</v>
      </c>
      <c r="M11">
        <f>IF(Material!$A11=1,0.32,IF(Material!$A11=2,1.1,IF(Material!$A11=3,2.25,IF(Material!$A11=4,1.45,IF(Material!$A11=5,1.65,IF(Material!$A11=6,1.1,IF(Material!$A11=7,1,0.16)))))))</f>
        <v>1.1000000000000001</v>
      </c>
      <c r="N11">
        <f>IF(Material!$A11=1,0.32,IF(Material!$A11=2,1.1,IF(Material!$A11=3,2.25,IF(Material!$A11=4,1.45,IF(Material!$A11=5,1.65,IF(Material!$A11=6,1.1,IF(Material!$A11=7,1,0.16)))))))</f>
        <v>1.1000000000000001</v>
      </c>
    </row>
    <row r="12" spans="1:15" x14ac:dyDescent="0.25">
      <c r="A12" t="s">
        <v>47</v>
      </c>
      <c r="B12" t="s">
        <v>75</v>
      </c>
      <c r="C12">
        <f>(5*C3+(0.5*C4))*Main!$D18/Mill!C10</f>
        <v>6.4015151515151514</v>
      </c>
      <c r="D12">
        <f>(5*D3+(0.5*D4))*Main!$D18/Mill!D10</f>
        <v>6.4015151515151514</v>
      </c>
      <c r="E12">
        <f>(5*E3+(0.5*E4))*Main!$D18/Mill!E10</f>
        <v>6.4015151515151514</v>
      </c>
      <c r="F12">
        <f>(5*F3+(0.5*F4))*Main!$D18/Mill!F10</f>
        <v>6.4015151515151514</v>
      </c>
      <c r="G12">
        <f>(5*G3+(0.5*G4))*Main!$D18/Mill!G10</f>
        <v>6.4015151515151514</v>
      </c>
      <c r="H12">
        <f>(5*H3+(0.5*H4))*Main!$D18/Mill!H10</f>
        <v>6.4015151515151514</v>
      </c>
      <c r="I12">
        <f>(5*I3+(0.5*I4))*Main!$D18/Mill!I10</f>
        <v>6.4015151515151514</v>
      </c>
      <c r="J12">
        <f>(5*J3+(0.5*J4))*Main!$D18/Mill!J10</f>
        <v>6.4015151515151514</v>
      </c>
      <c r="K12">
        <f>(5*K3+(0.5*K4))*Main!$D18/Mill!K10</f>
        <v>6.4015151515151514</v>
      </c>
      <c r="L12">
        <f>(5*L3+(0.5*L4))*Main!$D18/Mill!L10</f>
        <v>6.4015151515151514</v>
      </c>
      <c r="M12">
        <f>(5*M3+(0.5*M4))*Main!$D18/Mill!M10</f>
        <v>6.4015151515151514</v>
      </c>
      <c r="N12">
        <f>(5*N3+(0.5*N4))*Main!$D18/Mill!N10</f>
        <v>6.4015151515151514</v>
      </c>
    </row>
    <row r="13" spans="1:15" x14ac:dyDescent="0.25">
      <c r="A13" t="s">
        <v>48</v>
      </c>
      <c r="B13" t="s">
        <v>71</v>
      </c>
      <c r="C13">
        <f>IF(C9&lt;0.4,0.5,IF(C9&lt;10,2.2,IF(C9&lt;30,6.1,IF(C9&lt;60,13.7,25))))</f>
        <v>0.5</v>
      </c>
      <c r="D13">
        <f t="shared" ref="D13:M13" si="1">IF(D9&lt;0.4,0.5,IF(D9&lt;10,2.2,IF(D9&lt;30,6.1,IF(D9&lt;60,13.7,25))))</f>
        <v>0.5</v>
      </c>
      <c r="E13">
        <f t="shared" si="1"/>
        <v>0.5</v>
      </c>
      <c r="F13">
        <f t="shared" si="1"/>
        <v>0.5</v>
      </c>
      <c r="G13">
        <f t="shared" si="1"/>
        <v>0.5</v>
      </c>
      <c r="H13">
        <f t="shared" si="1"/>
        <v>0.5</v>
      </c>
      <c r="I13">
        <f t="shared" si="1"/>
        <v>0.5</v>
      </c>
      <c r="J13">
        <f t="shared" si="1"/>
        <v>0.5</v>
      </c>
      <c r="K13">
        <f t="shared" si="1"/>
        <v>0.5</v>
      </c>
      <c r="L13">
        <f t="shared" si="1"/>
        <v>0.5</v>
      </c>
      <c r="M13">
        <f t="shared" si="1"/>
        <v>0.5</v>
      </c>
      <c r="N13">
        <f>IF(N9&lt;0.4,0.5,IF(N9&lt;10,2.2,IF(N9&lt;30,6.1,IF(N9&lt;60,13.7,25))))</f>
        <v>0.5</v>
      </c>
    </row>
    <row r="14" spans="1:15" x14ac:dyDescent="0.25">
      <c r="A14" t="s">
        <v>49</v>
      </c>
      <c r="B14" t="s">
        <v>71</v>
      </c>
      <c r="C14">
        <f>IF(C9&lt;0.4,16,IF(C9&lt;10,44.6,IF(C9&lt;30,60.2,IF(C9&lt;60,90,305))))</f>
        <v>16</v>
      </c>
      <c r="D14">
        <f t="shared" ref="D14:M14" si="2">IF(D9&lt;0.4,16,IF(D9&lt;10,44.6,IF(D9&lt;30,60.2,IF(D9&lt;60,90,305))))</f>
        <v>16</v>
      </c>
      <c r="E14">
        <f t="shared" si="2"/>
        <v>16</v>
      </c>
      <c r="F14">
        <f t="shared" si="2"/>
        <v>16</v>
      </c>
      <c r="G14">
        <f t="shared" si="2"/>
        <v>16</v>
      </c>
      <c r="H14">
        <f t="shared" si="2"/>
        <v>16</v>
      </c>
      <c r="I14">
        <f t="shared" si="2"/>
        <v>16</v>
      </c>
      <c r="J14">
        <f t="shared" si="2"/>
        <v>16</v>
      </c>
      <c r="K14">
        <f t="shared" si="2"/>
        <v>16</v>
      </c>
      <c r="L14">
        <f t="shared" si="2"/>
        <v>16</v>
      </c>
      <c r="M14">
        <f t="shared" si="2"/>
        <v>16</v>
      </c>
      <c r="N14">
        <f>IF(N9&lt;0.4,16,IF(N9&lt;10,44.6,IF(N9&lt;30,60.2,IF(N9&lt;60,90,305))))</f>
        <v>16</v>
      </c>
    </row>
    <row r="15" spans="1:15" x14ac:dyDescent="0.25">
      <c r="A15" t="s">
        <v>50</v>
      </c>
      <c r="B15" t="s">
        <v>76</v>
      </c>
      <c r="C15">
        <f>60*C8*C11/C13</f>
        <v>0</v>
      </c>
      <c r="D15">
        <f t="shared" ref="D15:M15" si="3">60*D8*D11/D13</f>
        <v>0</v>
      </c>
      <c r="E15">
        <f t="shared" si="3"/>
        <v>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3"/>
        <v>0</v>
      </c>
      <c r="M15">
        <f t="shared" si="3"/>
        <v>0</v>
      </c>
      <c r="N15">
        <f>60*N8*N11/N13</f>
        <v>0</v>
      </c>
    </row>
    <row r="16" spans="1:15" x14ac:dyDescent="0.25">
      <c r="A16" t="s">
        <v>51</v>
      </c>
      <c r="B16" t="s">
        <v>62</v>
      </c>
      <c r="C16" s="3">
        <f>4100*(1+Main!$H14)/Mill!C2</f>
        <v>12300</v>
      </c>
      <c r="D16" s="3">
        <f>4100*(1+Main!$H14)/Mill!D2</f>
        <v>4100</v>
      </c>
      <c r="E16" s="3">
        <f>4100*(1+Main!$H14)/Mill!E2</f>
        <v>2460</v>
      </c>
      <c r="F16" s="3">
        <f>4100*(1+Main!$H14)/Mill!F2</f>
        <v>1757.1428571428571</v>
      </c>
      <c r="G16" s="3">
        <f>4100*(1+Main!$H14)/Mill!G2</f>
        <v>1230</v>
      </c>
      <c r="H16" s="3">
        <f>4100*(1+Main!$H14)/Mill!H2</f>
        <v>615</v>
      </c>
      <c r="I16" s="3">
        <f>4100*(1+Main!$H14)/Mill!I2</f>
        <v>246</v>
      </c>
      <c r="J16" s="3">
        <f>4100*(1+Main!$H14)/Mill!J2</f>
        <v>123</v>
      </c>
      <c r="K16" s="3">
        <f>4100*(1+Main!$H14)/Mill!K2</f>
        <v>49.2</v>
      </c>
      <c r="L16" s="3">
        <f>4100*(1+Main!$H14)/Mill!L2</f>
        <v>24.6</v>
      </c>
      <c r="M16" s="3">
        <f>4100*(1+Main!$H14)/Mill!M2</f>
        <v>12.3</v>
      </c>
      <c r="N16" s="3">
        <f>4100*(1+Main!$H14)/Mill!N2</f>
        <v>12.3</v>
      </c>
      <c r="O16" s="3"/>
    </row>
    <row r="17" spans="1:14" x14ac:dyDescent="0.25">
      <c r="A17" t="s">
        <v>52</v>
      </c>
      <c r="B17" t="s">
        <v>71</v>
      </c>
      <c r="C17">
        <f>IF(C15&gt;C12,1.05*C15,1.33*C12)</f>
        <v>8.5140151515151512</v>
      </c>
      <c r="D17">
        <f t="shared" ref="D17:M17" si="4">IF(D15&gt;D12,1.05*D15,1.33*D12)</f>
        <v>8.5140151515151512</v>
      </c>
      <c r="E17">
        <f t="shared" si="4"/>
        <v>8.5140151515151512</v>
      </c>
      <c r="F17">
        <f t="shared" si="4"/>
        <v>8.5140151515151512</v>
      </c>
      <c r="G17">
        <f t="shared" si="4"/>
        <v>8.5140151515151512</v>
      </c>
      <c r="H17">
        <f t="shared" si="4"/>
        <v>8.5140151515151512</v>
      </c>
      <c r="I17">
        <f t="shared" si="4"/>
        <v>8.5140151515151512</v>
      </c>
      <c r="J17">
        <f t="shared" si="4"/>
        <v>8.5140151515151512</v>
      </c>
      <c r="K17">
        <f t="shared" si="4"/>
        <v>8.5140151515151512</v>
      </c>
      <c r="L17">
        <f t="shared" si="4"/>
        <v>8.5140151515151512</v>
      </c>
      <c r="M17">
        <f t="shared" si="4"/>
        <v>8.5140151515151512</v>
      </c>
      <c r="N17">
        <f>IF(N15&gt;N12,1.05*N15,1.33*N12)</f>
        <v>8.5140151515151512</v>
      </c>
    </row>
    <row r="18" spans="1:14" x14ac:dyDescent="0.25">
      <c r="A18" t="s">
        <v>53</v>
      </c>
      <c r="B18" t="s">
        <v>78</v>
      </c>
      <c r="C18">
        <f>C17+C7+C14+C16</f>
        <v>12744.514015151515</v>
      </c>
      <c r="D18">
        <f t="shared" ref="D18:N18" si="5">D17+D7+D14+D16</f>
        <v>4544.5140151515152</v>
      </c>
      <c r="E18">
        <f t="shared" si="5"/>
        <v>2904.5140151515152</v>
      </c>
      <c r="F18">
        <f t="shared" si="5"/>
        <v>2201.6568722943721</v>
      </c>
      <c r="G18">
        <f t="shared" si="5"/>
        <v>1674.5140151515152</v>
      </c>
      <c r="H18">
        <f t="shared" si="5"/>
        <v>1059.5140151515152</v>
      </c>
      <c r="I18">
        <f t="shared" si="5"/>
        <v>690.5140151515152</v>
      </c>
      <c r="J18">
        <f t="shared" si="5"/>
        <v>567.5140151515152</v>
      </c>
      <c r="K18">
        <f t="shared" si="5"/>
        <v>493.71401515151513</v>
      </c>
      <c r="L18">
        <f t="shared" si="5"/>
        <v>469.11401515151516</v>
      </c>
      <c r="M18">
        <f t="shared" si="5"/>
        <v>456.81401515151515</v>
      </c>
      <c r="N18">
        <f t="shared" si="5"/>
        <v>456.81401515151515</v>
      </c>
    </row>
    <row r="19" spans="1:14" x14ac:dyDescent="0.25">
      <c r="A19" t="s">
        <v>54</v>
      </c>
      <c r="B19" t="s">
        <v>79</v>
      </c>
      <c r="C19">
        <f>C18*Material!$C24*Material!$C28/3600</f>
        <v>3.5401427819865319</v>
      </c>
      <c r="D19">
        <f>D18*Material!$C24*Material!$C28/3600</f>
        <v>1.2623650042087542</v>
      </c>
      <c r="E19">
        <f>E18*Material!$C24*Material!$C28/3600</f>
        <v>0.8068094486531987</v>
      </c>
      <c r="F19">
        <f>F18*Material!$C24*Material!$C28/3600</f>
        <v>0.61157135341510338</v>
      </c>
      <c r="G19">
        <f>G18*Material!$C24*Material!$C28/3600</f>
        <v>0.46514278198653197</v>
      </c>
      <c r="H19">
        <f>H18*Material!$C24*Material!$C28/3600</f>
        <v>0.29430944865319869</v>
      </c>
      <c r="I19">
        <f>I18*Material!$C24*Material!$C28/3600</f>
        <v>0.19180944865319866</v>
      </c>
      <c r="J19">
        <f>J18*Material!$C24*Material!$C28/3600</f>
        <v>0.157642781986532</v>
      </c>
      <c r="K19">
        <f>K18*Material!$C24*Material!$C28/3600</f>
        <v>0.13714278198653199</v>
      </c>
      <c r="L19">
        <f>L18*Material!$C24*Material!$C28/3600</f>
        <v>0.13030944865319866</v>
      </c>
      <c r="M19">
        <f>M18*Material!$C24*Material!$C28/3600</f>
        <v>0.12689278198653198</v>
      </c>
      <c r="N19">
        <f>N18*Material!$C24*Material!$C28/3600</f>
        <v>0.12689278198653198</v>
      </c>
    </row>
    <row r="20" spans="1:14" x14ac:dyDescent="0.25">
      <c r="A20" t="s">
        <v>55</v>
      </c>
      <c r="B20" t="s">
        <v>80</v>
      </c>
      <c r="C20">
        <f>C19*Main!$H16</f>
        <v>123.90499736952862</v>
      </c>
      <c r="D20">
        <f>D19*Main!$H16</f>
        <v>44.182775147306394</v>
      </c>
      <c r="E20">
        <f>E19*Main!$H16</f>
        <v>28.238330702861955</v>
      </c>
      <c r="F20">
        <f>F19*Main!$H16</f>
        <v>21.404997369528619</v>
      </c>
      <c r="G20">
        <f>G19*Main!$H16</f>
        <v>16.279997369528619</v>
      </c>
      <c r="H20">
        <f>H19*Main!$H16</f>
        <v>10.300830702861955</v>
      </c>
      <c r="I20">
        <f>I19*Main!$H16</f>
        <v>6.7133307028619527</v>
      </c>
      <c r="J20">
        <f>J19*Main!$H16</f>
        <v>5.5174973695286198</v>
      </c>
      <c r="K20">
        <f>K19*Main!$H16</f>
        <v>4.7999973695286196</v>
      </c>
      <c r="L20">
        <f>L19*Main!$H16</f>
        <v>4.5608307028619528</v>
      </c>
      <c r="M20">
        <f>M19*Main!$H16</f>
        <v>4.441247369528619</v>
      </c>
      <c r="N20">
        <f>N19*Main!$H16</f>
        <v>4.441247369528619</v>
      </c>
    </row>
    <row r="21" spans="1:14" x14ac:dyDescent="0.25">
      <c r="A21" t="s">
        <v>56</v>
      </c>
      <c r="B21" t="s">
        <v>81</v>
      </c>
      <c r="C21">
        <f>Mill!C9*Mill!C6</f>
        <v>0</v>
      </c>
      <c r="D21">
        <f>Mill!D9*Mill!D6</f>
        <v>0</v>
      </c>
      <c r="E21">
        <f>Mill!E9*Mill!E6</f>
        <v>0</v>
      </c>
      <c r="F21">
        <f>Mill!F9*Mill!F6</f>
        <v>0</v>
      </c>
      <c r="G21">
        <f>Mill!G9*Mill!G6</f>
        <v>0</v>
      </c>
      <c r="H21">
        <f>Mill!H9*Mill!H6</f>
        <v>0</v>
      </c>
      <c r="I21">
        <f>Mill!I9*Mill!I6</f>
        <v>0</v>
      </c>
      <c r="J21">
        <f>Mill!J9*Mill!J6</f>
        <v>0</v>
      </c>
      <c r="K21">
        <f>Mill!K9*Mill!K6</f>
        <v>0</v>
      </c>
      <c r="L21">
        <f>Mill!L9*Mill!L6</f>
        <v>0</v>
      </c>
      <c r="M21">
        <f>Mill!M9*Mill!M6</f>
        <v>0</v>
      </c>
      <c r="N21">
        <f>Mill!N9*Mill!N6</f>
        <v>0</v>
      </c>
    </row>
    <row r="22" spans="1:14" x14ac:dyDescent="0.25">
      <c r="A22" t="s">
        <v>57</v>
      </c>
      <c r="B22" t="s">
        <v>82</v>
      </c>
      <c r="C22">
        <f>C9*Material!$C10</f>
        <v>0</v>
      </c>
      <c r="D22">
        <f>D9*Material!$C10</f>
        <v>0</v>
      </c>
      <c r="E22">
        <f>E9*Material!$C10</f>
        <v>0</v>
      </c>
      <c r="F22">
        <f>F9*Material!$C10</f>
        <v>0</v>
      </c>
      <c r="G22">
        <f>G9*Material!$C10</f>
        <v>0</v>
      </c>
      <c r="H22">
        <f>H9*Material!$C10</f>
        <v>0</v>
      </c>
      <c r="I22">
        <f>I9*Material!$C10</f>
        <v>0</v>
      </c>
      <c r="J22">
        <f>J9*Material!$C10</f>
        <v>0</v>
      </c>
      <c r="K22">
        <f>K9*Material!$C10</f>
        <v>0</v>
      </c>
      <c r="L22">
        <f>L9*Material!$C10</f>
        <v>0</v>
      </c>
      <c r="M22">
        <f>M9*Material!$C10</f>
        <v>0</v>
      </c>
      <c r="N22">
        <f>N9*Material!$C10</f>
        <v>0</v>
      </c>
    </row>
    <row r="23" spans="1:14" s="5" customFormat="1" x14ac:dyDescent="0.25">
      <c r="A23" s="5" t="s">
        <v>58</v>
      </c>
      <c r="B23" s="5" t="s">
        <v>83</v>
      </c>
      <c r="C23" s="5">
        <f>C20+C22</f>
        <v>123.90499736952862</v>
      </c>
      <c r="D23" s="5">
        <f t="shared" ref="D23:N23" si="6">D20+D22</f>
        <v>44.182775147306394</v>
      </c>
      <c r="E23" s="5">
        <f t="shared" si="6"/>
        <v>28.238330702861955</v>
      </c>
      <c r="F23" s="5">
        <f t="shared" si="6"/>
        <v>21.404997369528619</v>
      </c>
      <c r="G23" s="5">
        <f t="shared" si="6"/>
        <v>16.279997369528619</v>
      </c>
      <c r="H23" s="5">
        <f t="shared" si="6"/>
        <v>10.300830702861955</v>
      </c>
      <c r="I23" s="5">
        <f t="shared" si="6"/>
        <v>6.7133307028619527</v>
      </c>
      <c r="J23" s="5">
        <f t="shared" si="6"/>
        <v>5.5174973695286198</v>
      </c>
      <c r="K23" s="5">
        <f t="shared" si="6"/>
        <v>4.7999973695286196</v>
      </c>
      <c r="L23" s="5">
        <f t="shared" si="6"/>
        <v>4.5608307028619528</v>
      </c>
      <c r="M23" s="5">
        <f t="shared" si="6"/>
        <v>4.441247369528619</v>
      </c>
      <c r="N23" s="5">
        <f t="shared" si="6"/>
        <v>4.441247369528619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6"/>
  <sheetViews>
    <sheetView topLeftCell="D25" workbookViewId="0">
      <selection activeCell="N3" sqref="N3"/>
    </sheetView>
  </sheetViews>
  <sheetFormatPr defaultRowHeight="13.2" x14ac:dyDescent="0.25"/>
  <cols>
    <col min="2" max="2" width="17" customWidth="1"/>
  </cols>
  <sheetData>
    <row r="1" spans="1:14" x14ac:dyDescent="0.25">
      <c r="A1" t="s">
        <v>13</v>
      </c>
    </row>
    <row r="2" spans="1:14" x14ac:dyDescent="0.25">
      <c r="A2" t="s">
        <v>18</v>
      </c>
      <c r="B2" t="s">
        <v>17</v>
      </c>
      <c r="C2" s="2">
        <v>1</v>
      </c>
      <c r="D2">
        <v>3</v>
      </c>
      <c r="E2">
        <v>5</v>
      </c>
      <c r="F2">
        <v>7</v>
      </c>
      <c r="G2">
        <v>10</v>
      </c>
      <c r="H2">
        <v>20</v>
      </c>
      <c r="I2">
        <v>50</v>
      </c>
      <c r="J2">
        <v>100</v>
      </c>
      <c r="K2">
        <v>250</v>
      </c>
      <c r="L2">
        <v>500</v>
      </c>
      <c r="M2">
        <v>1000</v>
      </c>
      <c r="N2">
        <f>Main!H15</f>
        <v>1000</v>
      </c>
    </row>
    <row r="3" spans="1:14" x14ac:dyDescent="0.25">
      <c r="A3" s="1" t="s">
        <v>30</v>
      </c>
      <c r="C3">
        <f>Main!$D14</f>
        <v>4</v>
      </c>
      <c r="D3">
        <f>Main!$D14</f>
        <v>4</v>
      </c>
      <c r="E3">
        <f>Main!$D14</f>
        <v>4</v>
      </c>
      <c r="F3">
        <f>Main!$D14</f>
        <v>4</v>
      </c>
      <c r="G3">
        <f>Main!$D14</f>
        <v>4</v>
      </c>
      <c r="H3">
        <f>Main!$D14</f>
        <v>4</v>
      </c>
      <c r="I3">
        <f>Main!$D14</f>
        <v>4</v>
      </c>
      <c r="J3">
        <f>Main!$D14</f>
        <v>4</v>
      </c>
      <c r="K3">
        <f>Main!$D14</f>
        <v>4</v>
      </c>
      <c r="L3">
        <f>Main!$D14</f>
        <v>4</v>
      </c>
      <c r="M3">
        <f>Main!$D14</f>
        <v>4</v>
      </c>
      <c r="N3">
        <f>Main!$D14</f>
        <v>4</v>
      </c>
    </row>
    <row r="4" spans="1:14" x14ac:dyDescent="0.25">
      <c r="A4" s="1" t="s">
        <v>35</v>
      </c>
      <c r="C4">
        <f>Main!$D15</f>
        <v>2.25</v>
      </c>
      <c r="D4">
        <f>Main!$D15</f>
        <v>2.25</v>
      </c>
      <c r="E4">
        <f>Main!$D15</f>
        <v>2.25</v>
      </c>
      <c r="F4">
        <f>Main!$D15</f>
        <v>2.25</v>
      </c>
      <c r="G4">
        <f>Main!$D15</f>
        <v>2.25</v>
      </c>
      <c r="H4">
        <f>Main!$D15</f>
        <v>2.25</v>
      </c>
      <c r="I4">
        <f>Main!$D15</f>
        <v>2.25</v>
      </c>
      <c r="J4">
        <f>Main!$D15</f>
        <v>2.25</v>
      </c>
      <c r="K4">
        <f>Main!$D15</f>
        <v>2.25</v>
      </c>
      <c r="L4">
        <f>Main!$D15</f>
        <v>2.25</v>
      </c>
      <c r="M4">
        <f>Main!$D15</f>
        <v>2.25</v>
      </c>
      <c r="N4">
        <f>Main!$D15</f>
        <v>2.25</v>
      </c>
    </row>
    <row r="5" spans="1:14" x14ac:dyDescent="0.25">
      <c r="A5" s="1" t="s">
        <v>29</v>
      </c>
      <c r="C5">
        <f>Main!$D16</f>
        <v>0</v>
      </c>
      <c r="D5">
        <f>Main!$D16</f>
        <v>0</v>
      </c>
      <c r="E5">
        <f>Main!$D16</f>
        <v>0</v>
      </c>
      <c r="F5">
        <f>Main!$D16</f>
        <v>0</v>
      </c>
      <c r="G5">
        <f>Main!$D16</f>
        <v>0</v>
      </c>
      <c r="H5">
        <f>Main!$D16</f>
        <v>0</v>
      </c>
      <c r="I5">
        <f>Main!$D16</f>
        <v>0</v>
      </c>
      <c r="J5">
        <f>Main!$D16</f>
        <v>0</v>
      </c>
      <c r="K5">
        <f>Main!$D16</f>
        <v>0</v>
      </c>
      <c r="L5">
        <f>Main!$D16</f>
        <v>0</v>
      </c>
      <c r="M5">
        <f>Main!$D16</f>
        <v>0</v>
      </c>
      <c r="N5">
        <f>Main!$D16</f>
        <v>0</v>
      </c>
    </row>
    <row r="6" spans="1:14" x14ac:dyDescent="0.25">
      <c r="A6" s="1" t="s">
        <v>70</v>
      </c>
      <c r="C6">
        <f>(Main!$D18+Main!$D19)</f>
        <v>10</v>
      </c>
      <c r="D6">
        <f>(Main!$D18+Main!$D19)</f>
        <v>10</v>
      </c>
      <c r="E6">
        <f>(Main!$D18+Main!$D19)</f>
        <v>10</v>
      </c>
      <c r="F6">
        <f>(Main!$D18+Main!$D19)</f>
        <v>10</v>
      </c>
      <c r="G6">
        <f>(Main!$D18+Main!$D19)</f>
        <v>10</v>
      </c>
      <c r="H6">
        <f>(Main!$D18+Main!$D19)</f>
        <v>10</v>
      </c>
      <c r="I6">
        <f>(Main!$D18+Main!$D19)</f>
        <v>10</v>
      </c>
      <c r="J6">
        <f>(Main!$D18+Main!$D19)</f>
        <v>10</v>
      </c>
      <c r="K6">
        <f>(Main!$D18+Main!$D19)</f>
        <v>10</v>
      </c>
      <c r="L6">
        <f>(Main!$D18+Main!$D19)</f>
        <v>10</v>
      </c>
      <c r="M6">
        <f>(Main!$D18+Main!$D19)</f>
        <v>10</v>
      </c>
      <c r="N6">
        <f>(Main!$D18+Main!$D19)</f>
        <v>10</v>
      </c>
    </row>
    <row r="7" spans="1:14" x14ac:dyDescent="0.25">
      <c r="A7" s="3" t="s">
        <v>36</v>
      </c>
      <c r="C7">
        <f>Main!$D17/100</f>
        <v>0.32</v>
      </c>
      <c r="D7">
        <f>Main!$D17/100</f>
        <v>0.32</v>
      </c>
      <c r="E7">
        <f>Main!$D17/100</f>
        <v>0.32</v>
      </c>
      <c r="F7">
        <f>Main!$D17/100</f>
        <v>0.32</v>
      </c>
      <c r="G7">
        <f>Main!$D17/100</f>
        <v>0.32</v>
      </c>
      <c r="H7">
        <f>Main!$D17/100</f>
        <v>0.32</v>
      </c>
      <c r="I7">
        <f>Main!$D17/100</f>
        <v>0.32</v>
      </c>
      <c r="J7">
        <f>Main!$D17/100</f>
        <v>0.32</v>
      </c>
      <c r="K7">
        <f>Main!$D17/100</f>
        <v>0.32</v>
      </c>
      <c r="L7">
        <f>Main!$D17/100</f>
        <v>0.32</v>
      </c>
      <c r="M7">
        <f>Main!$D17/100</f>
        <v>0.32</v>
      </c>
      <c r="N7">
        <f>Main!$D17/100</f>
        <v>0.32</v>
      </c>
    </row>
    <row r="8" spans="1:14" x14ac:dyDescent="0.25">
      <c r="A8" t="s">
        <v>28</v>
      </c>
      <c r="B8" t="s">
        <v>33</v>
      </c>
      <c r="C8">
        <f>25*C6</f>
        <v>250</v>
      </c>
      <c r="D8">
        <f t="shared" ref="D8:N8" si="0">25*D6</f>
        <v>250</v>
      </c>
      <c r="E8">
        <f t="shared" si="0"/>
        <v>250</v>
      </c>
      <c r="F8">
        <f t="shared" si="0"/>
        <v>250</v>
      </c>
      <c r="G8">
        <f t="shared" si="0"/>
        <v>250</v>
      </c>
      <c r="H8">
        <f t="shared" si="0"/>
        <v>250</v>
      </c>
      <c r="I8">
        <f t="shared" si="0"/>
        <v>250</v>
      </c>
      <c r="J8">
        <f t="shared" si="0"/>
        <v>250</v>
      </c>
      <c r="K8">
        <f t="shared" si="0"/>
        <v>250</v>
      </c>
      <c r="L8">
        <f t="shared" si="0"/>
        <v>250</v>
      </c>
      <c r="M8">
        <f t="shared" si="0"/>
        <v>250</v>
      </c>
      <c r="N8">
        <f t="shared" si="0"/>
        <v>250</v>
      </c>
    </row>
    <row r="9" spans="1:14" x14ac:dyDescent="0.25">
      <c r="A9" t="s">
        <v>34</v>
      </c>
      <c r="B9" t="s">
        <v>64</v>
      </c>
      <c r="C9">
        <f>0.785*C3*(C4^2-C5^2)*(1-C7)</f>
        <v>10.80945</v>
      </c>
      <c r="D9">
        <f t="shared" ref="D9:N9" si="1">0.785*D3*(D4^2-D5^2)*(1-D7)</f>
        <v>10.80945</v>
      </c>
      <c r="E9">
        <f t="shared" si="1"/>
        <v>10.80945</v>
      </c>
      <c r="F9">
        <f t="shared" si="1"/>
        <v>10.80945</v>
      </c>
      <c r="G9">
        <f t="shared" si="1"/>
        <v>10.80945</v>
      </c>
      <c r="H9">
        <f t="shared" si="1"/>
        <v>10.80945</v>
      </c>
      <c r="I9">
        <f t="shared" si="1"/>
        <v>10.80945</v>
      </c>
      <c r="J9">
        <f t="shared" si="1"/>
        <v>10.80945</v>
      </c>
      <c r="K9">
        <f t="shared" si="1"/>
        <v>10.80945</v>
      </c>
      <c r="L9">
        <f t="shared" si="1"/>
        <v>10.80945</v>
      </c>
      <c r="M9">
        <f t="shared" si="1"/>
        <v>10.80945</v>
      </c>
      <c r="N9">
        <f t="shared" si="1"/>
        <v>10.80945</v>
      </c>
    </row>
    <row r="10" spans="1:14" x14ac:dyDescent="0.25">
      <c r="A10" s="3" t="s">
        <v>46</v>
      </c>
      <c r="B10" t="s">
        <v>72</v>
      </c>
      <c r="C10">
        <f>IF(Material!$A16=1,Lathe!C9/(1-Lathe!C7)*Material!$D11/Lathe!C7,IF(Material!$A16=2,0.785*Lathe!C4^2*Lathe!C3*Material!$D11,Lathe!C9/(1-Lathe!C7)*Material!$D11))</f>
        <v>4.4986387499999996</v>
      </c>
      <c r="D10">
        <f>IF(Material!$A16=1,Lathe!D9/(1-Lathe!D7)*Material!$D11/Lathe!D7,IF(Material!$A16=2,0.785*Lathe!D4^2*Lathe!D3*Material!$D11,Lathe!D9/(1-Lathe!D7)*Material!$D11))</f>
        <v>4.4986387499999996</v>
      </c>
      <c r="E10">
        <f>IF(Material!$A16=1,Lathe!E9/(1-Lathe!E7)*Material!$D11/Lathe!E7,IF(Material!$A16=2,0.785*Lathe!E4^2*Lathe!E3*Material!$D11,Lathe!E9/(1-Lathe!E7)*Material!$D11))</f>
        <v>4.4986387499999996</v>
      </c>
      <c r="F10">
        <f>IF(Material!$A16=1,Lathe!F9/(1-Lathe!F7)*Material!$D11/Lathe!F7,IF(Material!$A16=2,0.785*Lathe!F4^2*Lathe!F3*Material!$D11,Lathe!F9/(1-Lathe!F7)*Material!$D11))</f>
        <v>4.4986387499999996</v>
      </c>
      <c r="G10">
        <f>IF(Material!$A16=1,Lathe!G9/(1-Lathe!G7)*Material!$D11/Lathe!G7,IF(Material!$A16=2,0.785*Lathe!G4^2*Lathe!G3*Material!$D11,Lathe!G9/(1-Lathe!G7)*Material!$D11))</f>
        <v>4.4986387499999996</v>
      </c>
      <c r="H10">
        <f>IF(Material!$A16=1,Lathe!H9/(1-Lathe!H7)*Material!$D11/Lathe!H7,IF(Material!$A16=2,0.785*Lathe!H4^2*Lathe!H3*Material!$D11,Lathe!H9/(1-Lathe!H7)*Material!$D11))</f>
        <v>4.4986387499999996</v>
      </c>
      <c r="I10">
        <f>IF(Material!$A16=1,Lathe!I9/(1-Lathe!I7)*Material!$D11/Lathe!I7,IF(Material!$A16=2,0.785*Lathe!I4^2*Lathe!I3*Material!$D11,Lathe!I9/(1-Lathe!I7)*Material!$D11))</f>
        <v>4.4986387499999996</v>
      </c>
      <c r="J10">
        <f>IF(Material!$A16=1,Lathe!J9/(1-Lathe!J7)*Material!$D11/Lathe!J7,IF(Material!$A16=2,0.785*Lathe!J4^2*Lathe!J3*Material!$D11,Lathe!J9/(1-Lathe!J7)*Material!$D11))</f>
        <v>4.4986387499999996</v>
      </c>
      <c r="K10">
        <f>IF(Material!$A16=1,Lathe!K9/(1-Lathe!K7)*Material!$D11/Lathe!K7,IF(Material!$A16=2,0.785*Lathe!K4^2*Lathe!K3*Material!$D11,Lathe!K9/(1-Lathe!K7)*Material!$D11))</f>
        <v>4.4986387499999996</v>
      </c>
      <c r="L10">
        <f>IF(Material!$A16=1,Lathe!L9/(1-Lathe!L7)*Material!$D11/Lathe!L7,IF(Material!$A16=2,0.785*Lathe!L4^2*Lathe!L3*Material!$D11,Lathe!L9/(1-Lathe!L7)*Material!$D11))</f>
        <v>4.4986387499999996</v>
      </c>
      <c r="M10">
        <f>IF(Material!$A16=1,Lathe!M9/(1-Lathe!M7)*Material!$D11/Lathe!M7,IF(Material!$A16=2,0.785*Lathe!M4^2*Lathe!M3*Material!$D11,Lathe!M9/(1-Lathe!M7)*Material!$D11))</f>
        <v>4.4986387499999996</v>
      </c>
      <c r="N10">
        <f>IF(Material!$A16=1,Lathe!N9/(1-Lathe!N7)*Material!$D11/Lathe!N7,IF(Material!$A16=2,0.785*Lathe!N4^2*Lathe!N3*Material!$D11,Lathe!N9/(1-Lathe!N7)*Material!$D11))</f>
        <v>4.4986387499999996</v>
      </c>
    </row>
    <row r="11" spans="1:14" x14ac:dyDescent="0.25">
      <c r="A11" s="3" t="s">
        <v>67</v>
      </c>
      <c r="B11" t="s">
        <v>62</v>
      </c>
      <c r="C11">
        <f>IF(Material!$A11=1,116.8,IF(Material!$A11=2,52.8,IF(Material!$A11=3,3.8,IF(Material!$A11=4,30.2,IF(Material!$A11=5,8.8,IF(Material!$A11=6,10.48,IF(Material!$A11=7,84.1,169.1)))))))</f>
        <v>52.8</v>
      </c>
      <c r="D11">
        <f>IF(Material!$A11=1,116.8,IF(Material!$A11=2,52.8,IF(Material!$A11=3,3.8,IF(Material!$A11=4,30.2,IF(Material!$A11=5,8.8,IF(Material!$A11=6,10.48,IF(Material!$A11=7,84.1,169.1)))))))</f>
        <v>52.8</v>
      </c>
      <c r="E11">
        <f>IF(Material!$A11=1,116.8,IF(Material!$A11=2,52.8,IF(Material!$A11=3,3.8,IF(Material!$A11=4,30.2,IF(Material!$A11=5,8.8,IF(Material!$A11=6,10.48,IF(Material!$A11=7,84.1,169.1)))))))</f>
        <v>52.8</v>
      </c>
      <c r="F11">
        <f>IF(Material!$A11=1,116.8,IF(Material!$A11=2,52.8,IF(Material!$A11=3,3.8,IF(Material!$A11=4,30.2,IF(Material!$A11=5,8.8,IF(Material!$A11=6,10.48,IF(Material!$A11=7,84.1,169.1)))))))</f>
        <v>52.8</v>
      </c>
      <c r="G11">
        <f>IF(Material!$A11=1,116.8,IF(Material!$A11=2,52.8,IF(Material!$A11=3,3.8,IF(Material!$A11=4,30.2,IF(Material!$A11=5,8.8,IF(Material!$A11=6,10.48,IF(Material!$A11=7,84.1,169.1)))))))</f>
        <v>52.8</v>
      </c>
      <c r="H11">
        <f>IF(Material!$A11=1,116.8,IF(Material!$A11=2,52.8,IF(Material!$A11=3,3.8,IF(Material!$A11=4,30.2,IF(Material!$A11=5,8.8,IF(Material!$A11=6,10.48,IF(Material!$A11=7,84.1,169.1)))))))</f>
        <v>52.8</v>
      </c>
      <c r="I11">
        <f>IF(Material!$A11=1,116.8,IF(Material!$A11=2,52.8,IF(Material!$A11=3,3.8,IF(Material!$A11=4,30.2,IF(Material!$A11=5,8.8,IF(Material!$A11=6,10.48,IF(Material!$A11=7,84.1,169.1)))))))</f>
        <v>52.8</v>
      </c>
      <c r="J11">
        <f>IF(Material!$A11=1,116.8,IF(Material!$A11=2,52.8,IF(Material!$A11=3,3.8,IF(Material!$A11=4,30.2,IF(Material!$A11=5,8.8,IF(Material!$A11=6,10.48,IF(Material!$A11=7,84.1,169.1)))))))</f>
        <v>52.8</v>
      </c>
      <c r="K11">
        <f>IF(Material!$A11=1,116.8,IF(Material!$A11=2,52.8,IF(Material!$A11=3,3.8,IF(Material!$A11=4,30.2,IF(Material!$A11=5,8.8,IF(Material!$A11=6,10.48,IF(Material!$A11=7,84.1,169.1)))))))</f>
        <v>52.8</v>
      </c>
      <c r="L11">
        <f>IF(Material!$A11=1,116.8,IF(Material!$A11=2,52.8,IF(Material!$A11=3,3.8,IF(Material!$A11=4,30.2,IF(Material!$A11=5,8.8,IF(Material!$A11=6,10.48,IF(Material!$A11=7,84.1,169.1)))))))</f>
        <v>52.8</v>
      </c>
      <c r="M11">
        <f>IF(Material!$A11=1,116.8,IF(Material!$A11=2,52.8,IF(Material!$A11=3,3.8,IF(Material!$A11=4,30.2,IF(Material!$A11=5,8.8,IF(Material!$A11=6,10.48,IF(Material!$A11=7,84.1,169.1)))))))</f>
        <v>52.8</v>
      </c>
      <c r="N11">
        <f>IF(Material!$A11=1,116.8,IF(Material!$A11=2,52.8,IF(Material!$A11=3,3.8,IF(Material!$A11=4,30.2,IF(Material!$A11=5,8.8,IF(Material!$A11=6,10.48,IF(Material!$A11=7,84.1,169.1)))))))</f>
        <v>52.8</v>
      </c>
    </row>
    <row r="12" spans="1:14" x14ac:dyDescent="0.25">
      <c r="A12" t="s">
        <v>32</v>
      </c>
      <c r="B12" t="s">
        <v>73</v>
      </c>
      <c r="C12">
        <f>IF(Material!$A11=1,0.2,IF(Material!$A11=2,1.1,IF(Material!$A11=3,2.8,IF(Material!$A11=4,1.25,IF(Material!$A11=5,1.5,IF(Material!$A11=6,1.15,IF(Material!$A11=7,0.73,0.16)))))))</f>
        <v>1.1000000000000001</v>
      </c>
      <c r="D12">
        <f>IF(Material!$A11=1,0.2,IF(Material!$A11=2,1.1,IF(Material!$A11=3,2.8,IF(Material!$A11=4,1.25,IF(Material!$A11=5,1.5,IF(Material!$A11=6,1.15,IF(Material!$A11=7,0.73,0.16)))))))</f>
        <v>1.1000000000000001</v>
      </c>
      <c r="E12">
        <f>IF(Material!$A11=1,0.2,IF(Material!$A11=2,1.1,IF(Material!$A11=3,2.8,IF(Material!$A11=4,1.25,IF(Material!$A11=5,1.5,IF(Material!$A11=6,1.15,IF(Material!$A11=7,0.73,0.16)))))))</f>
        <v>1.1000000000000001</v>
      </c>
      <c r="F12">
        <f>IF(Material!$A11=1,0.2,IF(Material!$A11=2,1.1,IF(Material!$A11=3,2.8,IF(Material!$A11=4,1.25,IF(Material!$A11=5,1.5,IF(Material!$A11=6,1.15,IF(Material!$A11=7,0.73,0.16)))))))</f>
        <v>1.1000000000000001</v>
      </c>
      <c r="G12">
        <f>IF(Material!$A11=1,0.2,IF(Material!$A11=2,1.1,IF(Material!$A11=3,2.8,IF(Material!$A11=4,1.25,IF(Material!$A11=5,1.5,IF(Material!$A11=6,1.15,IF(Material!$A11=7,0.73,0.16)))))))</f>
        <v>1.1000000000000001</v>
      </c>
      <c r="H12">
        <f>IF(Material!$A11=1,0.2,IF(Material!$A11=2,1.1,IF(Material!$A11=3,2.8,IF(Material!$A11=4,1.25,IF(Material!$A11=5,1.5,IF(Material!$A11=6,1.15,IF(Material!$A11=7,0.73,0.16)))))))</f>
        <v>1.1000000000000001</v>
      </c>
      <c r="I12">
        <f>IF(Material!$A11=1,0.2,IF(Material!$A11=2,1.1,IF(Material!$A11=3,2.8,IF(Material!$A11=4,1.25,IF(Material!$A11=5,1.5,IF(Material!$A11=6,1.15,IF(Material!$A11=7,0.73,0.16)))))))</f>
        <v>1.1000000000000001</v>
      </c>
      <c r="J12">
        <f>IF(Material!$A11=1,0.2,IF(Material!$A11=2,1.1,IF(Material!$A11=3,2.8,IF(Material!$A11=4,1.25,IF(Material!$A11=5,1.5,IF(Material!$A11=6,1.15,IF(Material!$A11=7,0.73,0.16)))))))</f>
        <v>1.1000000000000001</v>
      </c>
      <c r="K12">
        <f>IF(Material!$A11=1,0.2,IF(Material!$A11=2,1.1,IF(Material!$A11=3,2.8,IF(Material!$A11=4,1.25,IF(Material!$A11=5,1.5,IF(Material!$A11=6,1.15,IF(Material!$A11=7,0.73,0.16)))))))</f>
        <v>1.1000000000000001</v>
      </c>
      <c r="L12">
        <f>IF(Material!$A11=1,0.2,IF(Material!$A11=2,1.1,IF(Material!$A11=3,2.8,IF(Material!$A11=4,1.25,IF(Material!$A11=5,1.5,IF(Material!$A11=6,1.15,IF(Material!$A11=7,0.73,0.16)))))))</f>
        <v>1.1000000000000001</v>
      </c>
      <c r="M12">
        <f>IF(Material!$A11=1,0.2,IF(Material!$A11=2,1.1,IF(Material!$A11=3,2.8,IF(Material!$A11=4,1.25,IF(Material!$A11=5,1.5,IF(Material!$A11=6,1.15,IF(Material!$A11=7,0.73,0.16)))))))</f>
        <v>1.1000000000000001</v>
      </c>
      <c r="N12">
        <f>IF(Material!$A11=1,0.2,IF(Material!$A11=2,1.1,IF(Material!$A11=3,2.8,IF(Material!$A11=4,1.25,IF(Material!$A11=5,1.5,IF(Material!$A11=6,1.15,IF(Material!$A11=7,0.73,0.16)))))))</f>
        <v>1.1000000000000001</v>
      </c>
    </row>
    <row r="13" spans="1:14" x14ac:dyDescent="0.25">
      <c r="A13" s="3" t="s">
        <v>68</v>
      </c>
      <c r="B13" t="s">
        <v>74</v>
      </c>
      <c r="C13">
        <f>3.1416*C3*C4</f>
        <v>28.2744</v>
      </c>
      <c r="D13">
        <f t="shared" ref="D13:N13" si="2">3.1416*D3*D4</f>
        <v>28.2744</v>
      </c>
      <c r="E13">
        <f t="shared" si="2"/>
        <v>28.2744</v>
      </c>
      <c r="F13">
        <f t="shared" si="2"/>
        <v>28.2744</v>
      </c>
      <c r="G13">
        <f t="shared" si="2"/>
        <v>28.2744</v>
      </c>
      <c r="H13">
        <f t="shared" si="2"/>
        <v>28.2744</v>
      </c>
      <c r="I13">
        <f t="shared" si="2"/>
        <v>28.2744</v>
      </c>
      <c r="J13">
        <f t="shared" si="2"/>
        <v>28.2744</v>
      </c>
      <c r="K13">
        <f t="shared" si="2"/>
        <v>28.2744</v>
      </c>
      <c r="L13">
        <f t="shared" si="2"/>
        <v>28.2744</v>
      </c>
      <c r="M13">
        <f t="shared" si="2"/>
        <v>28.2744</v>
      </c>
      <c r="N13">
        <f t="shared" si="2"/>
        <v>28.2744</v>
      </c>
    </row>
    <row r="14" spans="1:14" x14ac:dyDescent="0.25">
      <c r="A14" s="3" t="s">
        <v>47</v>
      </c>
      <c r="B14" t="s">
        <v>69</v>
      </c>
      <c r="C14">
        <f>60*C13/C11</f>
        <v>32.130000000000003</v>
      </c>
      <c r="D14">
        <f t="shared" ref="D14:N14" si="3">60*D13/D11</f>
        <v>32.130000000000003</v>
      </c>
      <c r="E14">
        <f t="shared" si="3"/>
        <v>32.130000000000003</v>
      </c>
      <c r="F14">
        <f t="shared" si="3"/>
        <v>32.130000000000003</v>
      </c>
      <c r="G14">
        <f t="shared" si="3"/>
        <v>32.130000000000003</v>
      </c>
      <c r="H14">
        <f t="shared" si="3"/>
        <v>32.130000000000003</v>
      </c>
      <c r="I14">
        <f t="shared" si="3"/>
        <v>32.130000000000003</v>
      </c>
      <c r="J14">
        <f t="shared" si="3"/>
        <v>32.130000000000003</v>
      </c>
      <c r="K14">
        <f t="shared" si="3"/>
        <v>32.130000000000003</v>
      </c>
      <c r="L14">
        <f t="shared" si="3"/>
        <v>32.130000000000003</v>
      </c>
      <c r="M14">
        <f t="shared" si="3"/>
        <v>32.130000000000003</v>
      </c>
      <c r="N14">
        <f t="shared" si="3"/>
        <v>32.130000000000003</v>
      </c>
    </row>
    <row r="15" spans="1:14" x14ac:dyDescent="0.25">
      <c r="A15" s="3" t="s">
        <v>48</v>
      </c>
      <c r="B15" t="s">
        <v>71</v>
      </c>
      <c r="C15">
        <f>IF(C10&lt;0.4,0.5,IF(C10&lt;10,2.2,IF(C10&lt;30,6.1,IF(C10&lt;60,13.7,25))))</f>
        <v>2.2000000000000002</v>
      </c>
      <c r="D15">
        <f t="shared" ref="D15:N15" si="4">IF(D10&lt;0.4,0.5,IF(D10&lt;10,2.2,IF(D10&lt;30,6.1,IF(D10&lt;60,13.7,25))))</f>
        <v>2.2000000000000002</v>
      </c>
      <c r="E15">
        <f t="shared" si="4"/>
        <v>2.2000000000000002</v>
      </c>
      <c r="F15">
        <f t="shared" si="4"/>
        <v>2.2000000000000002</v>
      </c>
      <c r="G15">
        <f t="shared" si="4"/>
        <v>2.2000000000000002</v>
      </c>
      <c r="H15">
        <f t="shared" si="4"/>
        <v>2.2000000000000002</v>
      </c>
      <c r="I15">
        <f t="shared" si="4"/>
        <v>2.2000000000000002</v>
      </c>
      <c r="J15">
        <f t="shared" si="4"/>
        <v>2.2000000000000002</v>
      </c>
      <c r="K15">
        <f t="shared" si="4"/>
        <v>2.2000000000000002</v>
      </c>
      <c r="L15">
        <f t="shared" si="4"/>
        <v>2.2000000000000002</v>
      </c>
      <c r="M15">
        <f t="shared" si="4"/>
        <v>2.2000000000000002</v>
      </c>
      <c r="N15">
        <f t="shared" si="4"/>
        <v>2.2000000000000002</v>
      </c>
    </row>
    <row r="16" spans="1:14" x14ac:dyDescent="0.25">
      <c r="A16" s="3" t="s">
        <v>49</v>
      </c>
      <c r="B16" t="s">
        <v>71</v>
      </c>
      <c r="C16">
        <f>IF(C10&lt;0.4,16,IF(C10&lt;10,44.6,IF(C10&lt;30,60.2,IF(C10&lt;60,90,305))))</f>
        <v>44.6</v>
      </c>
      <c r="D16">
        <f t="shared" ref="D16:N16" si="5">IF(D10&lt;0.4,16,IF(D10&lt;10,44.6,IF(D10&lt;30,60.2,IF(D10&lt;60,90,305))))</f>
        <v>44.6</v>
      </c>
      <c r="E16">
        <f t="shared" si="5"/>
        <v>44.6</v>
      </c>
      <c r="F16">
        <f t="shared" si="5"/>
        <v>44.6</v>
      </c>
      <c r="G16">
        <f t="shared" si="5"/>
        <v>44.6</v>
      </c>
      <c r="H16">
        <f t="shared" si="5"/>
        <v>44.6</v>
      </c>
      <c r="I16">
        <f t="shared" si="5"/>
        <v>44.6</v>
      </c>
      <c r="J16">
        <f t="shared" si="5"/>
        <v>44.6</v>
      </c>
      <c r="K16">
        <f t="shared" si="5"/>
        <v>44.6</v>
      </c>
      <c r="L16">
        <f t="shared" si="5"/>
        <v>44.6</v>
      </c>
      <c r="M16">
        <f t="shared" si="5"/>
        <v>44.6</v>
      </c>
      <c r="N16">
        <f t="shared" si="5"/>
        <v>44.6</v>
      </c>
    </row>
    <row r="17" spans="1:14" x14ac:dyDescent="0.25">
      <c r="A17" s="3" t="s">
        <v>50</v>
      </c>
      <c r="B17" t="s">
        <v>76</v>
      </c>
      <c r="C17">
        <f>60*C9*C12/C15</f>
        <v>324.2835</v>
      </c>
      <c r="D17">
        <f t="shared" ref="D17:M17" si="6">60*D9*D12/D15</f>
        <v>324.2835</v>
      </c>
      <c r="E17">
        <f t="shared" si="6"/>
        <v>324.2835</v>
      </c>
      <c r="F17">
        <f t="shared" si="6"/>
        <v>324.2835</v>
      </c>
      <c r="G17">
        <f t="shared" si="6"/>
        <v>324.2835</v>
      </c>
      <c r="H17">
        <f t="shared" si="6"/>
        <v>324.2835</v>
      </c>
      <c r="I17">
        <f t="shared" si="6"/>
        <v>324.2835</v>
      </c>
      <c r="J17">
        <f t="shared" si="6"/>
        <v>324.2835</v>
      </c>
      <c r="K17">
        <f t="shared" si="6"/>
        <v>324.2835</v>
      </c>
      <c r="L17">
        <f t="shared" si="6"/>
        <v>324.2835</v>
      </c>
      <c r="M17">
        <f t="shared" si="6"/>
        <v>324.2835</v>
      </c>
      <c r="N17">
        <f>60*N9*N12/N15</f>
        <v>324.2835</v>
      </c>
    </row>
    <row r="18" spans="1:14" x14ac:dyDescent="0.25">
      <c r="A18" s="3" t="s">
        <v>51</v>
      </c>
      <c r="B18" t="s">
        <v>62</v>
      </c>
      <c r="C18" s="3">
        <f>4100*(1+Main!$H14)/Mill!C2</f>
        <v>12300</v>
      </c>
      <c r="D18" s="3">
        <f>4100*(1+Main!$H14)/Mill!D2</f>
        <v>4100</v>
      </c>
      <c r="E18" s="3">
        <f>4100*(1+Main!$H14)/Mill!E2</f>
        <v>2460</v>
      </c>
      <c r="F18" s="3">
        <f>4100*(1+Main!$H14)/Mill!F2</f>
        <v>1757.1428571428571</v>
      </c>
      <c r="G18" s="3">
        <f>4100*(1+Main!$H14)/Mill!G2</f>
        <v>1230</v>
      </c>
      <c r="H18" s="3">
        <f>4100*(1+Main!$H14)/Mill!H2</f>
        <v>615</v>
      </c>
      <c r="I18" s="3">
        <f>4100*(1+Main!$H14)/Mill!I2</f>
        <v>246</v>
      </c>
      <c r="J18" s="3">
        <f>4100*(1+Main!$H14)/Mill!J2</f>
        <v>123</v>
      </c>
      <c r="K18" s="3">
        <f>4100*(1+Main!$H14)/Mill!K2</f>
        <v>49.2</v>
      </c>
      <c r="L18" s="3">
        <f>4100*(1+Main!$H14)/Mill!L2</f>
        <v>24.6</v>
      </c>
      <c r="M18" s="3">
        <f>4100*(1+Main!$H14)/Mill!M2</f>
        <v>12.3</v>
      </c>
      <c r="N18" s="3">
        <f>4100*(1+Main!$H14)/Mill!N2</f>
        <v>12.3</v>
      </c>
    </row>
    <row r="19" spans="1:14" x14ac:dyDescent="0.25">
      <c r="A19" t="s">
        <v>52</v>
      </c>
      <c r="B19" t="s">
        <v>71</v>
      </c>
      <c r="C19">
        <f>IF(C17&gt;C14,1.05*C17,1.33*C14)</f>
        <v>340.49767500000002</v>
      </c>
      <c r="D19">
        <f t="shared" ref="D19:M19" si="7">IF(D17&gt;D14,1.05*D17,1.33*D14)</f>
        <v>340.49767500000002</v>
      </c>
      <c r="E19">
        <f t="shared" si="7"/>
        <v>340.49767500000002</v>
      </c>
      <c r="F19">
        <f t="shared" si="7"/>
        <v>340.49767500000002</v>
      </c>
      <c r="G19">
        <f t="shared" si="7"/>
        <v>340.49767500000002</v>
      </c>
      <c r="H19">
        <f t="shared" si="7"/>
        <v>340.49767500000002</v>
      </c>
      <c r="I19">
        <f t="shared" si="7"/>
        <v>340.49767500000002</v>
      </c>
      <c r="J19">
        <f t="shared" si="7"/>
        <v>340.49767500000002</v>
      </c>
      <c r="K19">
        <f t="shared" si="7"/>
        <v>340.49767500000002</v>
      </c>
      <c r="L19">
        <f t="shared" si="7"/>
        <v>340.49767500000002</v>
      </c>
      <c r="M19">
        <f t="shared" si="7"/>
        <v>340.49767500000002</v>
      </c>
      <c r="N19">
        <f>IF(N17&gt;N14,1.05*N17,1.33*N14)</f>
        <v>340.49767500000002</v>
      </c>
    </row>
    <row r="20" spans="1:14" x14ac:dyDescent="0.25">
      <c r="A20" t="s">
        <v>52</v>
      </c>
      <c r="B20" t="s">
        <v>77</v>
      </c>
      <c r="C20">
        <f>IF(C4&gt;2,C19+10.8*C6,C19+2.7*C4^2*C6)</f>
        <v>448.49767500000002</v>
      </c>
      <c r="D20">
        <f t="shared" ref="D20:N20" si="8">IF(D4&gt;2,D19+10.8*D6,D19+2.7*D4^2*D6)</f>
        <v>448.49767500000002</v>
      </c>
      <c r="E20">
        <f t="shared" si="8"/>
        <v>448.49767500000002</v>
      </c>
      <c r="F20">
        <f t="shared" si="8"/>
        <v>448.49767500000002</v>
      </c>
      <c r="G20">
        <f t="shared" si="8"/>
        <v>448.49767500000002</v>
      </c>
      <c r="H20">
        <f t="shared" si="8"/>
        <v>448.49767500000002</v>
      </c>
      <c r="I20">
        <f t="shared" si="8"/>
        <v>448.49767500000002</v>
      </c>
      <c r="J20">
        <f t="shared" si="8"/>
        <v>448.49767500000002</v>
      </c>
      <c r="K20">
        <f t="shared" si="8"/>
        <v>448.49767500000002</v>
      </c>
      <c r="L20">
        <f t="shared" si="8"/>
        <v>448.49767500000002</v>
      </c>
      <c r="M20">
        <f t="shared" si="8"/>
        <v>448.49767500000002</v>
      </c>
      <c r="N20">
        <f t="shared" si="8"/>
        <v>448.49767500000002</v>
      </c>
    </row>
    <row r="21" spans="1:14" x14ac:dyDescent="0.25">
      <c r="A21" t="s">
        <v>53</v>
      </c>
      <c r="B21" t="s">
        <v>78</v>
      </c>
      <c r="C21">
        <f>C20+C8+C16+C18</f>
        <v>13043.097675000001</v>
      </c>
      <c r="D21">
        <f t="shared" ref="D21:N21" si="9">D20+D8+D16+D18</f>
        <v>4843.097675</v>
      </c>
      <c r="E21">
        <f t="shared" si="9"/>
        <v>3203.097675</v>
      </c>
      <c r="F21">
        <f t="shared" si="9"/>
        <v>2500.2405321428573</v>
      </c>
      <c r="G21">
        <f t="shared" si="9"/>
        <v>1973.097675</v>
      </c>
      <c r="H21">
        <f t="shared" si="9"/>
        <v>1358.097675</v>
      </c>
      <c r="I21">
        <f t="shared" si="9"/>
        <v>989.09767500000009</v>
      </c>
      <c r="J21">
        <f t="shared" si="9"/>
        <v>866.09767500000009</v>
      </c>
      <c r="K21">
        <f t="shared" si="9"/>
        <v>792.29767500000014</v>
      </c>
      <c r="L21">
        <f t="shared" si="9"/>
        <v>767.69767500000012</v>
      </c>
      <c r="M21">
        <f t="shared" si="9"/>
        <v>755.39767500000005</v>
      </c>
      <c r="N21">
        <f t="shared" si="9"/>
        <v>755.39767500000005</v>
      </c>
    </row>
    <row r="22" spans="1:14" x14ac:dyDescent="0.25">
      <c r="A22" t="s">
        <v>54</v>
      </c>
      <c r="B22" t="s">
        <v>79</v>
      </c>
      <c r="C22">
        <f>C21*Material!$C24*Material!$C28/3600</f>
        <v>3.6230826875000002</v>
      </c>
      <c r="D22">
        <f>D21*Material!$C24*Material!$C28/3600</f>
        <v>1.3453049097222223</v>
      </c>
      <c r="E22">
        <f>E21*Material!$C24*Material!$C28/3600</f>
        <v>0.88974935416666667</v>
      </c>
      <c r="F22">
        <f>F21*Material!$C24*Material!$C28/3600</f>
        <v>0.69451125892857146</v>
      </c>
      <c r="G22">
        <f>G21*Material!$C24*Material!$C28/3600</f>
        <v>0.5480826875</v>
      </c>
      <c r="H22">
        <f>H21*Material!$C24*Material!$C28/3600</f>
        <v>0.37724935416666666</v>
      </c>
      <c r="I22">
        <f>I21*Material!$C24*Material!$C28/3600</f>
        <v>0.27474935416666668</v>
      </c>
      <c r="J22">
        <f>J21*Material!$C24*Material!$C28/3600</f>
        <v>0.24058268750000003</v>
      </c>
      <c r="K22">
        <f>K21*Material!$C24*Material!$C28/3600</f>
        <v>0.22008268750000004</v>
      </c>
      <c r="L22">
        <f>L21*Material!$C24*Material!$C28/3600</f>
        <v>0.21324935416666671</v>
      </c>
      <c r="M22">
        <f>M21*Material!$C24*Material!$C28/3600</f>
        <v>0.2098326875</v>
      </c>
      <c r="N22">
        <f>N21*Material!$C24*Material!$C28/3600</f>
        <v>0.2098326875</v>
      </c>
    </row>
    <row r="23" spans="1:14" x14ac:dyDescent="0.25">
      <c r="A23" t="s">
        <v>55</v>
      </c>
      <c r="B23" t="s">
        <v>80</v>
      </c>
      <c r="C23">
        <f>C22*Main!$H16</f>
        <v>126.80789406250001</v>
      </c>
      <c r="D23">
        <f>D22*Main!$H16</f>
        <v>47.085671840277783</v>
      </c>
      <c r="E23">
        <f>E22*Main!$H16</f>
        <v>31.141227395833333</v>
      </c>
      <c r="F23">
        <f>F22*Main!$H16</f>
        <v>24.307894062500001</v>
      </c>
      <c r="G23">
        <f>G22*Main!$H16</f>
        <v>19.182894062500001</v>
      </c>
      <c r="H23">
        <f>H22*Main!$H16</f>
        <v>13.203727395833333</v>
      </c>
      <c r="I23">
        <f>I22*Main!$H16</f>
        <v>9.6162273958333344</v>
      </c>
      <c r="J23">
        <f>J22*Main!$H16</f>
        <v>8.4203940625000016</v>
      </c>
      <c r="K23">
        <f>K22*Main!$H16</f>
        <v>7.7028940625000013</v>
      </c>
      <c r="L23">
        <f>L22*Main!$H16</f>
        <v>7.4637273958333346</v>
      </c>
      <c r="M23">
        <f>M22*Main!$H16</f>
        <v>7.3441440624999998</v>
      </c>
      <c r="N23">
        <f>N22*Main!$H16</f>
        <v>7.3441440624999998</v>
      </c>
    </row>
    <row r="24" spans="1:14" x14ac:dyDescent="0.25">
      <c r="A24" t="s">
        <v>56</v>
      </c>
      <c r="B24" t="s">
        <v>81</v>
      </c>
      <c r="C24">
        <f>C10*C7</f>
        <v>1.4395643999999999</v>
      </c>
      <c r="D24">
        <f t="shared" ref="D24:N24" si="10">D10*D7</f>
        <v>1.4395643999999999</v>
      </c>
      <c r="E24">
        <f t="shared" si="10"/>
        <v>1.4395643999999999</v>
      </c>
      <c r="F24">
        <f t="shared" si="10"/>
        <v>1.4395643999999999</v>
      </c>
      <c r="G24">
        <f t="shared" si="10"/>
        <v>1.4395643999999999</v>
      </c>
      <c r="H24">
        <f t="shared" si="10"/>
        <v>1.4395643999999999</v>
      </c>
      <c r="I24">
        <f t="shared" si="10"/>
        <v>1.4395643999999999</v>
      </c>
      <c r="J24">
        <f t="shared" si="10"/>
        <v>1.4395643999999999</v>
      </c>
      <c r="K24">
        <f t="shared" si="10"/>
        <v>1.4395643999999999</v>
      </c>
      <c r="L24">
        <f t="shared" si="10"/>
        <v>1.4395643999999999</v>
      </c>
      <c r="M24">
        <f t="shared" si="10"/>
        <v>1.4395643999999999</v>
      </c>
      <c r="N24">
        <f t="shared" si="10"/>
        <v>1.4395643999999999</v>
      </c>
    </row>
    <row r="25" spans="1:14" x14ac:dyDescent="0.25">
      <c r="A25" t="s">
        <v>57</v>
      </c>
      <c r="B25" t="s">
        <v>82</v>
      </c>
      <c r="C25">
        <f>C10*Material!$C10</f>
        <v>1.4845507874999999</v>
      </c>
      <c r="D25">
        <f>D10*Material!$C10</f>
        <v>1.4845507874999999</v>
      </c>
      <c r="E25">
        <f>E10*Material!$C10</f>
        <v>1.4845507874999999</v>
      </c>
      <c r="F25">
        <f>F10*Material!$C10</f>
        <v>1.4845507874999999</v>
      </c>
      <c r="G25">
        <f>G10*Material!$C10</f>
        <v>1.4845507874999999</v>
      </c>
      <c r="H25">
        <f>H10*Material!$C10</f>
        <v>1.4845507874999999</v>
      </c>
      <c r="I25">
        <f>I10*Material!$C10</f>
        <v>1.4845507874999999</v>
      </c>
      <c r="J25">
        <f>J10*Material!$C10</f>
        <v>1.4845507874999999</v>
      </c>
      <c r="K25">
        <f>K10*Material!$C10</f>
        <v>1.4845507874999999</v>
      </c>
      <c r="L25">
        <f>L10*Material!$C10</f>
        <v>1.4845507874999999</v>
      </c>
      <c r="M25">
        <f>M10*Material!$C10</f>
        <v>1.4845507874999999</v>
      </c>
      <c r="N25">
        <f>N10*Material!$C10</f>
        <v>1.4845507874999999</v>
      </c>
    </row>
    <row r="26" spans="1:14" x14ac:dyDescent="0.25">
      <c r="A26" s="5" t="s">
        <v>58</v>
      </c>
      <c r="B26" s="5" t="s">
        <v>83</v>
      </c>
      <c r="C26" s="5">
        <f>C23+C25</f>
        <v>128.29244485000001</v>
      </c>
      <c r="D26" s="5">
        <f t="shared" ref="D26:N26" si="11">D23+D25</f>
        <v>48.570222627777781</v>
      </c>
      <c r="E26" s="5">
        <f t="shared" si="11"/>
        <v>32.625778183333331</v>
      </c>
      <c r="F26" s="5">
        <f t="shared" si="11"/>
        <v>25.792444850000003</v>
      </c>
      <c r="G26" s="5">
        <f t="shared" si="11"/>
        <v>20.667444850000003</v>
      </c>
      <c r="H26" s="5">
        <f t="shared" si="11"/>
        <v>14.688278183333333</v>
      </c>
      <c r="I26" s="5">
        <f t="shared" si="11"/>
        <v>11.100778183333334</v>
      </c>
      <c r="J26" s="5">
        <f t="shared" si="11"/>
        <v>9.9049448500000015</v>
      </c>
      <c r="K26" s="5">
        <f t="shared" si="11"/>
        <v>9.1874448500000021</v>
      </c>
      <c r="L26" s="5">
        <f t="shared" si="11"/>
        <v>8.9482781833333345</v>
      </c>
      <c r="M26" s="5">
        <f t="shared" si="11"/>
        <v>8.8286948499999998</v>
      </c>
      <c r="N26" s="5">
        <f t="shared" si="11"/>
        <v>8.8286948499999998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M32"/>
  <sheetViews>
    <sheetView workbookViewId="0">
      <selection activeCell="L35" sqref="L35"/>
    </sheetView>
  </sheetViews>
  <sheetFormatPr defaultRowHeight="13.2" x14ac:dyDescent="0.25"/>
  <cols>
    <col min="1" max="1" width="22.6640625" customWidth="1"/>
    <col min="3" max="3" width="6.109375" customWidth="1"/>
    <col min="4" max="4" width="5.109375" customWidth="1"/>
    <col min="5" max="5" width="6.44140625" customWidth="1"/>
    <col min="6" max="6" width="5.5546875" customWidth="1"/>
    <col min="7" max="7" width="6" customWidth="1"/>
    <col min="8" max="8" width="7" customWidth="1"/>
    <col min="9" max="9" width="6.33203125" customWidth="1"/>
    <col min="10" max="10" width="7.44140625" customWidth="1"/>
    <col min="11" max="11" width="5" customWidth="1"/>
    <col min="12" max="12" width="7.5546875" customWidth="1"/>
    <col min="13" max="13" width="6.5546875" customWidth="1"/>
  </cols>
  <sheetData>
    <row r="1" spans="1:5" x14ac:dyDescent="0.25">
      <c r="C1" t="s">
        <v>44</v>
      </c>
    </row>
    <row r="2" spans="1:5" x14ac:dyDescent="0.25">
      <c r="A2" s="1" t="s">
        <v>0</v>
      </c>
      <c r="C2">
        <f>IF(A16=1,4.5,IF(A16=2,2.5,6))</f>
        <v>2.5</v>
      </c>
    </row>
    <row r="3" spans="1:5" x14ac:dyDescent="0.25">
      <c r="A3" s="1" t="s">
        <v>1</v>
      </c>
      <c r="C3">
        <f>IF(A16=1,0.3,IF(A16=2,0.33,0.45))</f>
        <v>0.33</v>
      </c>
    </row>
    <row r="4" spans="1:5" x14ac:dyDescent="0.25">
      <c r="A4" s="1" t="s">
        <v>2</v>
      </c>
      <c r="C4">
        <f>IF(A16=1,0.55,IF(A16=2,1.12,1))</f>
        <v>1.1200000000000001</v>
      </c>
    </row>
    <row r="5" spans="1:5" x14ac:dyDescent="0.25">
      <c r="A5" s="1" t="s">
        <v>3</v>
      </c>
      <c r="C5">
        <f>IF(A16=1,2.6,IF(A16=2,3.5,3.5))</f>
        <v>3.5</v>
      </c>
    </row>
    <row r="6" spans="1:5" x14ac:dyDescent="0.25">
      <c r="A6" s="1" t="s">
        <v>4</v>
      </c>
      <c r="C6">
        <f>IF(A16=1,2,IF(A16=2,1.5,2.5))</f>
        <v>1.5</v>
      </c>
    </row>
    <row r="7" spans="1:5" x14ac:dyDescent="0.25">
      <c r="A7" s="1" t="s">
        <v>5</v>
      </c>
      <c r="C7">
        <f>IF(A16=1,12.5,IF(A16=2,19,22))</f>
        <v>19</v>
      </c>
    </row>
    <row r="8" spans="1:5" x14ac:dyDescent="0.25">
      <c r="A8" s="1" t="s">
        <v>6</v>
      </c>
      <c r="C8">
        <f>IF(A16=1,3.12,IF(A16=2,4,5))</f>
        <v>4</v>
      </c>
    </row>
    <row r="9" spans="1:5" x14ac:dyDescent="0.25">
      <c r="A9" s="1" t="s">
        <v>7</v>
      </c>
      <c r="C9">
        <f>IF(A16=1,6.75,IF(A16=2,5,5))</f>
        <v>5</v>
      </c>
    </row>
    <row r="10" spans="1:5" x14ac:dyDescent="0.25">
      <c r="B10" t="s">
        <v>45</v>
      </c>
      <c r="C10">
        <f>IF(A11=1,C2,IF(A11=2,C3,IF(A11=3,C4,IF(A11=4,C5,IF(A11=5,C6,IF(A11=6,C7,IF(A11=7,C8,C9)))))))</f>
        <v>0.33</v>
      </c>
    </row>
    <row r="11" spans="1:5" x14ac:dyDescent="0.25">
      <c r="A11">
        <v>2</v>
      </c>
      <c r="B11" t="s">
        <v>12</v>
      </c>
      <c r="C11" t="s">
        <v>42</v>
      </c>
      <c r="D11">
        <f>IF(A11=1,0.1,IF(A11=2,0.283,IF(A11=3,0.31,IF(A11=4,0.283,IF(A11=5,0.31,IF(A11=6,0.16,IF(A11=7,0.32,0.066)))))))</f>
        <v>0.28299999999999997</v>
      </c>
      <c r="E11" t="s">
        <v>43</v>
      </c>
    </row>
    <row r="13" spans="1:5" x14ac:dyDescent="0.25">
      <c r="A13" s="1" t="s">
        <v>8</v>
      </c>
    </row>
    <row r="14" spans="1:5" x14ac:dyDescent="0.25">
      <c r="A14" s="1" t="s">
        <v>9</v>
      </c>
    </row>
    <row r="15" spans="1:5" x14ac:dyDescent="0.25">
      <c r="A15" s="1" t="s">
        <v>10</v>
      </c>
    </row>
    <row r="16" spans="1:5" x14ac:dyDescent="0.25">
      <c r="A16">
        <v>2</v>
      </c>
      <c r="B16" t="s">
        <v>11</v>
      </c>
    </row>
    <row r="18" spans="1:13" x14ac:dyDescent="0.25">
      <c r="A18" s="1" t="s">
        <v>13</v>
      </c>
    </row>
    <row r="19" spans="1:13" x14ac:dyDescent="0.25">
      <c r="A19" s="1" t="s">
        <v>14</v>
      </c>
    </row>
    <row r="20" spans="1:13" x14ac:dyDescent="0.25">
      <c r="A20">
        <v>1</v>
      </c>
      <c r="B20" t="s">
        <v>15</v>
      </c>
    </row>
    <row r="21" spans="1:13" x14ac:dyDescent="0.25">
      <c r="A21" s="1" t="s">
        <v>20</v>
      </c>
    </row>
    <row r="22" spans="1:13" x14ac:dyDescent="0.25">
      <c r="A22" s="1" t="s">
        <v>21</v>
      </c>
    </row>
    <row r="23" spans="1:13" x14ac:dyDescent="0.25">
      <c r="A23" s="1" t="s">
        <v>22</v>
      </c>
    </row>
    <row r="24" spans="1:13" x14ac:dyDescent="0.25">
      <c r="A24">
        <v>2</v>
      </c>
      <c r="B24" t="s">
        <v>23</v>
      </c>
      <c r="C24">
        <f>IF(A24=1,0.8,IF(A24 =2,1,1.3))</f>
        <v>1</v>
      </c>
      <c r="D24" t="s">
        <v>24</v>
      </c>
    </row>
    <row r="25" spans="1:13" x14ac:dyDescent="0.25">
      <c r="A25" s="1" t="s">
        <v>25</v>
      </c>
    </row>
    <row r="26" spans="1:13" x14ac:dyDescent="0.25">
      <c r="A26" s="1" t="s">
        <v>21</v>
      </c>
    </row>
    <row r="27" spans="1:13" x14ac:dyDescent="0.25">
      <c r="A27" s="1" t="s">
        <v>26</v>
      </c>
    </row>
    <row r="28" spans="1:13" x14ac:dyDescent="0.25">
      <c r="A28">
        <v>2</v>
      </c>
      <c r="B28" t="s">
        <v>61</v>
      </c>
      <c r="C28">
        <f>IF(A28=1,0.7,IF(A28=2,1,1.4))</f>
        <v>1</v>
      </c>
      <c r="D28" t="s">
        <v>27</v>
      </c>
    </row>
    <row r="30" spans="1:13" x14ac:dyDescent="0.25">
      <c r="B30" t="s">
        <v>92</v>
      </c>
    </row>
    <row r="31" spans="1:13" x14ac:dyDescent="0.25">
      <c r="B31" s="2">
        <v>1</v>
      </c>
      <c r="C31">
        <v>3</v>
      </c>
      <c r="D31">
        <v>5</v>
      </c>
      <c r="E31">
        <v>7</v>
      </c>
      <c r="F31">
        <v>10</v>
      </c>
      <c r="G31">
        <v>20</v>
      </c>
      <c r="H31">
        <v>50</v>
      </c>
      <c r="I31">
        <v>100</v>
      </c>
      <c r="J31">
        <v>250</v>
      </c>
      <c r="K31">
        <v>500</v>
      </c>
      <c r="L31">
        <v>1000</v>
      </c>
      <c r="M31">
        <f>Main!H15</f>
        <v>1000</v>
      </c>
    </row>
    <row r="32" spans="1:13" x14ac:dyDescent="0.25">
      <c r="B32">
        <f>IF($A$20=2,Mill!C$23,Lathe!C26)</f>
        <v>128.29244485000001</v>
      </c>
      <c r="C32">
        <f>IF($A$20=2,Mill!D$23,Lathe!D26)</f>
        <v>48.570222627777781</v>
      </c>
      <c r="D32">
        <f>IF($A$20=2,Mill!E$23,Lathe!E26)</f>
        <v>32.625778183333331</v>
      </c>
      <c r="E32">
        <f>IF($A$20=2,Mill!F$23,Lathe!F26)</f>
        <v>25.792444850000003</v>
      </c>
      <c r="F32">
        <f>IF($A$20=2,Mill!G$23,Lathe!G26)</f>
        <v>20.667444850000003</v>
      </c>
      <c r="G32">
        <f>IF($A$20=2,Mill!H$23,Lathe!H26)</f>
        <v>14.688278183333333</v>
      </c>
      <c r="H32">
        <f>IF($A$20=2,Mill!I$23,Lathe!I26)</f>
        <v>11.100778183333334</v>
      </c>
      <c r="I32">
        <f>IF($A$20=2,Mill!J$23,Lathe!J26)</f>
        <v>9.9049448500000015</v>
      </c>
      <c r="J32">
        <f>IF($A$20=2,Mill!K$23,Lathe!K26)</f>
        <v>9.1874448500000021</v>
      </c>
      <c r="K32">
        <f>IF($A$20=2,Mill!L$23,Lathe!L26)</f>
        <v>8.9482781833333345</v>
      </c>
      <c r="L32">
        <f>IF($A$20=2,Mill!M$23,Lathe!M26)</f>
        <v>8.8286948499999998</v>
      </c>
      <c r="M32">
        <f>IF($A$20=2,Mill!N$23,Lathe!N26)</f>
        <v>8.8286948499999998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Mill</vt:lpstr>
      <vt:lpstr>Lathe</vt:lpstr>
      <vt:lpstr>Material</vt:lpstr>
    </vt:vector>
  </TitlesOfParts>
  <Company>Robust Decisions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Ullman</dc:creator>
  <cp:lastModifiedBy>david</cp:lastModifiedBy>
  <cp:lastPrinted>2007-08-16T18:23:44Z</cp:lastPrinted>
  <dcterms:created xsi:type="dcterms:W3CDTF">2007-06-26T00:48:34Z</dcterms:created>
  <dcterms:modified xsi:type="dcterms:W3CDTF">2018-07-09T02:37:40Z</dcterms:modified>
</cp:coreProperties>
</file>