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BOOKS\MDP\6th\Templates\"/>
    </mc:Choice>
  </mc:AlternateContent>
  <xr:revisionPtr revIDLastSave="0" documentId="8_{86A83C39-6875-4346-8C05-E01371E3F5C5}" xr6:coauthVersionLast="34" xr6:coauthVersionMax="34" xr10:uidLastSave="{00000000-0000-0000-0000-000000000000}"/>
  <bookViews>
    <workbookView xWindow="0" yWindow="252" windowWidth="16908" windowHeight="8988" xr2:uid="{00000000-000D-0000-FFFF-FFFF00000000}"/>
  </bookViews>
  <sheets>
    <sheet name="Main" sheetId="1" r:id="rId1"/>
    <sheet name="Inject" sheetId="4" state="hidden" r:id="rId2"/>
    <sheet name="Input" sheetId="2" state="hidden" r:id="rId3"/>
  </sheets>
  <calcPr calcId="179017"/>
</workbook>
</file>

<file path=xl/calcChain.xml><?xml version="1.0" encoding="utf-8"?>
<calcChain xmlns="http://schemas.openxmlformats.org/spreadsheetml/2006/main">
  <c r="E4" i="4" l="1"/>
  <c r="E3" i="4"/>
  <c r="E2" i="4"/>
  <c r="E8" i="4" s="1"/>
  <c r="E18" i="4" s="1"/>
  <c r="E5" i="4"/>
  <c r="E13" i="4" s="1"/>
  <c r="A29" i="2"/>
  <c r="A30" i="2" s="1"/>
  <c r="A31" i="2" s="1"/>
  <c r="F4" i="4"/>
  <c r="F24" i="4" s="1"/>
  <c r="F3" i="4"/>
  <c r="F2" i="4"/>
  <c r="F5" i="4"/>
  <c r="G4" i="4"/>
  <c r="G3" i="4"/>
  <c r="G2" i="4"/>
  <c r="G5" i="4"/>
  <c r="H4" i="4"/>
  <c r="H3" i="4"/>
  <c r="H2" i="4"/>
  <c r="H5" i="4"/>
  <c r="I4" i="4"/>
  <c r="I24" i="4" s="1"/>
  <c r="I3" i="4"/>
  <c r="I2" i="4"/>
  <c r="I5" i="4"/>
  <c r="I13" i="4" s="1"/>
  <c r="J4" i="4"/>
  <c r="J24" i="4" s="1"/>
  <c r="J3" i="4"/>
  <c r="J2" i="4"/>
  <c r="J5" i="4"/>
  <c r="J13" i="4" s="1"/>
  <c r="K4" i="4"/>
  <c r="K24" i="4" s="1"/>
  <c r="K3" i="4"/>
  <c r="K2" i="4"/>
  <c r="K5" i="4"/>
  <c r="L4" i="4"/>
  <c r="L3" i="4"/>
  <c r="L2" i="4"/>
  <c r="L5" i="4"/>
  <c r="M4" i="4"/>
  <c r="M24" i="4" s="1"/>
  <c r="M3" i="4"/>
  <c r="M2" i="4"/>
  <c r="M5" i="4"/>
  <c r="N4" i="4"/>
  <c r="N24" i="4" s="1"/>
  <c r="N3" i="4"/>
  <c r="N2" i="4"/>
  <c r="N5" i="4"/>
  <c r="N13" i="4" s="1"/>
  <c r="O4" i="4"/>
  <c r="O24" i="4" s="1"/>
  <c r="O3" i="4"/>
  <c r="O2" i="4"/>
  <c r="O5" i="4"/>
  <c r="O13" i="4" s="1"/>
  <c r="D4" i="4"/>
  <c r="D3" i="4"/>
  <c r="D2" i="4"/>
  <c r="D5" i="4"/>
  <c r="B14" i="1"/>
  <c r="B13" i="1"/>
  <c r="C9" i="2"/>
  <c r="E9" i="2"/>
  <c r="O17" i="4"/>
  <c r="O9" i="4"/>
  <c r="O12" i="4" s="1"/>
  <c r="O20" i="4"/>
  <c r="O21" i="4"/>
  <c r="O6" i="4"/>
  <c r="N17" i="4"/>
  <c r="N20" i="4"/>
  <c r="N21" i="4"/>
  <c r="N9" i="4"/>
  <c r="N12" i="4" s="1"/>
  <c r="M17" i="4"/>
  <c r="M20" i="4"/>
  <c r="M21" i="4"/>
  <c r="M9" i="4"/>
  <c r="M12" i="4" s="1"/>
  <c r="M13" i="4"/>
  <c r="L17" i="4"/>
  <c r="L20" i="4"/>
  <c r="L21" i="4"/>
  <c r="L9" i="4"/>
  <c r="L12" i="4" s="1"/>
  <c r="L13" i="4"/>
  <c r="K17" i="4"/>
  <c r="K20" i="4"/>
  <c r="K21" i="4"/>
  <c r="K9" i="4"/>
  <c r="K12" i="4"/>
  <c r="K13" i="4"/>
  <c r="J17" i="4"/>
  <c r="J20" i="4"/>
  <c r="J21" i="4"/>
  <c r="J9" i="4"/>
  <c r="J12" i="4" s="1"/>
  <c r="I17" i="4"/>
  <c r="I20" i="4"/>
  <c r="I21" i="4"/>
  <c r="I9" i="4"/>
  <c r="I12" i="4" s="1"/>
  <c r="H17" i="4"/>
  <c r="H20" i="4"/>
  <c r="H21" i="4"/>
  <c r="H9" i="4"/>
  <c r="H12" i="4" s="1"/>
  <c r="H13" i="4"/>
  <c r="G17" i="4"/>
  <c r="G20" i="4"/>
  <c r="G21" i="4"/>
  <c r="G9" i="4"/>
  <c r="G12" i="4" s="1"/>
  <c r="G13" i="4"/>
  <c r="G24" i="4"/>
  <c r="F17" i="4"/>
  <c r="F20" i="4"/>
  <c r="F21" i="4"/>
  <c r="F9" i="4"/>
  <c r="F12" i="4" s="1"/>
  <c r="F13" i="4"/>
  <c r="E17" i="4"/>
  <c r="E20" i="4"/>
  <c r="E21" i="4"/>
  <c r="E9" i="4"/>
  <c r="E12" i="4" s="1"/>
  <c r="E24" i="4"/>
  <c r="D17" i="4"/>
  <c r="D13" i="4"/>
  <c r="D9" i="4"/>
  <c r="D12" i="4" s="1"/>
  <c r="D20" i="4"/>
  <c r="D21" i="4"/>
  <c r="F17" i="2"/>
  <c r="F21" i="2"/>
  <c r="D14" i="4" l="1"/>
  <c r="H7" i="4"/>
  <c r="H15" i="4" s="1"/>
  <c r="G7" i="4"/>
  <c r="G15" i="4" s="1"/>
  <c r="G16" i="4" s="1"/>
  <c r="D10" i="4"/>
  <c r="D11" i="4" s="1"/>
  <c r="O7" i="4"/>
  <c r="O15" i="4" s="1"/>
  <c r="N8" i="4"/>
  <c r="N18" i="4" s="1"/>
  <c r="J8" i="4"/>
  <c r="J18" i="4" s="1"/>
  <c r="O14" i="4"/>
  <c r="E14" i="4"/>
  <c r="D8" i="4"/>
  <c r="D18" i="4" s="1"/>
  <c r="F8" i="4"/>
  <c r="F18" i="4" s="1"/>
  <c r="H10" i="4"/>
  <c r="H8" i="4"/>
  <c r="H18" i="4" s="1"/>
  <c r="I14" i="4"/>
  <c r="D7" i="4"/>
  <c r="D15" i="4" s="1"/>
  <c r="D16" i="4" s="1"/>
  <c r="N10" i="4"/>
  <c r="N11" i="4" s="1"/>
  <c r="L7" i="4"/>
  <c r="L15" i="4" s="1"/>
  <c r="K10" i="4"/>
  <c r="K11" i="4" s="1"/>
  <c r="J10" i="4"/>
  <c r="J11" i="4" s="1"/>
  <c r="H16" i="4"/>
  <c r="F14" i="4"/>
  <c r="J14" i="4"/>
  <c r="N14" i="4"/>
  <c r="K7" i="4"/>
  <c r="K15" i="4" s="1"/>
  <c r="K16" i="4" s="1"/>
  <c r="K8" i="4"/>
  <c r="K18" i="4" s="1"/>
  <c r="O10" i="4"/>
  <c r="O11" i="4" s="1"/>
  <c r="G20" i="1" s="1"/>
  <c r="L10" i="4"/>
  <c r="L11" i="4" s="1"/>
  <c r="L8" i="4"/>
  <c r="L18" i="4" s="1"/>
  <c r="G10" i="4"/>
  <c r="G11" i="4" s="1"/>
  <c r="G14" i="4"/>
  <c r="L24" i="4"/>
  <c r="M14" i="4"/>
  <c r="O8" i="4"/>
  <c r="O18" i="4" s="1"/>
  <c r="I10" i="4"/>
  <c r="I11" i="4" s="1"/>
  <c r="F10" i="4"/>
  <c r="F11" i="4" s="1"/>
  <c r="K14" i="4"/>
  <c r="L14" i="4"/>
  <c r="G8" i="4"/>
  <c r="G18" i="4" s="1"/>
  <c r="M10" i="4"/>
  <c r="M11" i="4" s="1"/>
  <c r="H11" i="4"/>
  <c r="L16" i="4"/>
  <c r="D24" i="4"/>
  <c r="H24" i="4"/>
  <c r="H14" i="4"/>
  <c r="O16" i="4"/>
  <c r="N7" i="4"/>
  <c r="J7" i="4"/>
  <c r="F7" i="4"/>
  <c r="E10" i="4"/>
  <c r="E11" i="4" s="1"/>
  <c r="M7" i="4"/>
  <c r="I7" i="4"/>
  <c r="E7" i="4"/>
  <c r="M8" i="4"/>
  <c r="M18" i="4" s="1"/>
  <c r="I8" i="4"/>
  <c r="I18" i="4" s="1"/>
  <c r="L19" i="4" l="1"/>
  <c r="D19" i="4"/>
  <c r="O19" i="4"/>
  <c r="H19" i="4"/>
  <c r="H22" i="4" s="1"/>
  <c r="H23" i="4" s="1"/>
  <c r="H30" i="4" s="1"/>
  <c r="H31" i="4" s="1"/>
  <c r="H32" i="4" s="1"/>
  <c r="K19" i="4"/>
  <c r="G19" i="4"/>
  <c r="G22" i="4" s="1"/>
  <c r="G23" i="4" s="1"/>
  <c r="G27" i="4" s="1"/>
  <c r="L22" i="4"/>
  <c r="L23" i="4" s="1"/>
  <c r="K22" i="4"/>
  <c r="K23" i="4" s="1"/>
  <c r="F15" i="4"/>
  <c r="E15" i="4"/>
  <c r="N15" i="4"/>
  <c r="J15" i="4"/>
  <c r="M15" i="4"/>
  <c r="I15" i="4"/>
  <c r="D22" i="4"/>
  <c r="D23" i="4" s="1"/>
  <c r="O22" i="4"/>
  <c r="O23" i="4" s="1"/>
  <c r="O27" i="4" s="1"/>
  <c r="H25" i="4" l="1"/>
  <c r="H26" i="4" s="1"/>
  <c r="H27" i="4"/>
  <c r="D25" i="4"/>
  <c r="D26" i="4" s="1"/>
  <c r="D30" i="4"/>
  <c r="D31" i="4" s="1"/>
  <c r="D32" i="4" s="1"/>
  <c r="M16" i="4"/>
  <c r="M19" i="4" s="1"/>
  <c r="E16" i="4"/>
  <c r="E19" i="4" s="1"/>
  <c r="K30" i="4"/>
  <c r="K31" i="4" s="1"/>
  <c r="K32" i="4" s="1"/>
  <c r="K25" i="4"/>
  <c r="K26" i="4" s="1"/>
  <c r="L30" i="4"/>
  <c r="L31" i="4" s="1"/>
  <c r="L32" i="4" s="1"/>
  <c r="L25" i="4"/>
  <c r="L26" i="4" s="1"/>
  <c r="G15" i="1"/>
  <c r="G17" i="1" s="1"/>
  <c r="O30" i="4"/>
  <c r="O31" i="4" s="1"/>
  <c r="O32" i="4" s="1"/>
  <c r="O25" i="4"/>
  <c r="O26" i="4" s="1"/>
  <c r="O28" i="4" s="1"/>
  <c r="I16" i="4"/>
  <c r="I19" i="4" s="1"/>
  <c r="J16" i="4"/>
  <c r="J19" i="4" s="1"/>
  <c r="N16" i="4"/>
  <c r="N19" i="4" s="1"/>
  <c r="G30" i="4"/>
  <c r="G31" i="4" s="1"/>
  <c r="G32" i="4" s="1"/>
  <c r="G25" i="4"/>
  <c r="G26" i="4" s="1"/>
  <c r="G28" i="4" s="1"/>
  <c r="G29" i="4" s="1"/>
  <c r="F16" i="4"/>
  <c r="F19" i="4" s="1"/>
  <c r="K27" i="4"/>
  <c r="D27" i="4"/>
  <c r="H28" i="4"/>
  <c r="H29" i="4" s="1"/>
  <c r="H33" i="4" s="1"/>
  <c r="L27" i="4"/>
  <c r="L28" i="4" l="1"/>
  <c r="L29" i="4" s="1"/>
  <c r="F22" i="4"/>
  <c r="F23" i="4" s="1"/>
  <c r="J22" i="4"/>
  <c r="J23" i="4" s="1"/>
  <c r="J27" i="4" s="1"/>
  <c r="N22" i="4"/>
  <c r="N23" i="4" s="1"/>
  <c r="G21" i="1"/>
  <c r="G18" i="1"/>
  <c r="O29" i="4"/>
  <c r="G16" i="1"/>
  <c r="E22" i="4"/>
  <c r="E23" i="4" s="1"/>
  <c r="I22" i="4"/>
  <c r="I23" i="4" s="1"/>
  <c r="I27" i="4" s="1"/>
  <c r="K28" i="4"/>
  <c r="K29" i="4" s="1"/>
  <c r="K33" i="4" s="1"/>
  <c r="G33" i="4"/>
  <c r="D28" i="4"/>
  <c r="D29" i="4" s="1"/>
  <c r="D33" i="4" s="1"/>
  <c r="L33" i="4"/>
  <c r="M22" i="4"/>
  <c r="M23" i="4" s="1"/>
  <c r="M27" i="4" s="1"/>
  <c r="E25" i="4" l="1"/>
  <c r="E26" i="4" s="1"/>
  <c r="E30" i="4"/>
  <c r="E31" i="4" s="1"/>
  <c r="E32" i="4" s="1"/>
  <c r="O33" i="4"/>
  <c r="G22" i="1" s="1"/>
  <c r="G19" i="1"/>
  <c r="N25" i="4"/>
  <c r="N26" i="4" s="1"/>
  <c r="N30" i="4"/>
  <c r="N31" i="4" s="1"/>
  <c r="N32" i="4" s="1"/>
  <c r="F25" i="4"/>
  <c r="F26" i="4" s="1"/>
  <c r="F30" i="4"/>
  <c r="F31" i="4" s="1"/>
  <c r="F32" i="4" s="1"/>
  <c r="I25" i="4"/>
  <c r="I26" i="4" s="1"/>
  <c r="I28" i="4" s="1"/>
  <c r="I29" i="4" s="1"/>
  <c r="I30" i="4"/>
  <c r="I31" i="4" s="1"/>
  <c r="I32" i="4" s="1"/>
  <c r="M25" i="4"/>
  <c r="M26" i="4" s="1"/>
  <c r="M28" i="4" s="1"/>
  <c r="M29" i="4" s="1"/>
  <c r="M30" i="4"/>
  <c r="M31" i="4" s="1"/>
  <c r="M32" i="4" s="1"/>
  <c r="J25" i="4"/>
  <c r="J26" i="4" s="1"/>
  <c r="J28" i="4" s="1"/>
  <c r="J29" i="4" s="1"/>
  <c r="J30" i="4"/>
  <c r="J31" i="4" s="1"/>
  <c r="J32" i="4" s="1"/>
  <c r="N27" i="4"/>
  <c r="F27" i="4"/>
  <c r="E27" i="4"/>
  <c r="J33" i="4" l="1"/>
  <c r="I33" i="4"/>
  <c r="N28" i="4"/>
  <c r="N29" i="4" s="1"/>
  <c r="N33" i="4" s="1"/>
  <c r="E28" i="4"/>
  <c r="E29" i="4" s="1"/>
  <c r="E33" i="4" s="1"/>
  <c r="M33" i="4"/>
  <c r="F28" i="4"/>
  <c r="F29" i="4" s="1"/>
  <c r="F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Ullman</author>
  </authors>
  <commentList>
    <comment ref="B2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David Ullman:</t>
        </r>
        <r>
          <rPr>
            <sz val="8"/>
            <color indexed="81"/>
            <rFont val="Tahoma"/>
            <family val="2"/>
          </rPr>
          <t xml:space="preserve">
assume 45$/hour machine time rate wo labor</t>
        </r>
      </text>
    </comment>
  </commentList>
</comments>
</file>

<file path=xl/sharedStrings.xml><?xml version="1.0" encoding="utf-8"?>
<sst xmlns="http://schemas.openxmlformats.org/spreadsheetml/2006/main" count="124" uniqueCount="116">
  <si>
    <t>Mill</t>
  </si>
  <si>
    <t>Number of parts</t>
  </si>
  <si>
    <t>NT</t>
  </si>
  <si>
    <t>Hourly rate</t>
  </si>
  <si>
    <t>Large</t>
  </si>
  <si>
    <t>Intermediate</t>
  </si>
  <si>
    <t>Fit</t>
  </si>
  <si>
    <t>TOL</t>
  </si>
  <si>
    <t>TF</t>
  </si>
  <si>
    <t>FF</t>
  </si>
  <si>
    <t>What finish?</t>
  </si>
  <si>
    <t>What tolerance?</t>
  </si>
  <si>
    <t>TT</t>
  </si>
  <si>
    <t>$</t>
  </si>
  <si>
    <t>FIN</t>
  </si>
  <si>
    <t>hr</t>
  </si>
  <si>
    <t>Total cost</t>
  </si>
  <si>
    <t>Shape of part</t>
  </si>
  <si>
    <t>Box</t>
  </si>
  <si>
    <t>cylinderical</t>
  </si>
  <si>
    <t>Simple</t>
  </si>
  <si>
    <t>Complex</t>
  </si>
  <si>
    <t>GCOMP</t>
  </si>
  <si>
    <t>SHAPE</t>
  </si>
  <si>
    <t>inches</t>
  </si>
  <si>
    <t>cm</t>
  </si>
  <si>
    <t>Units</t>
  </si>
  <si>
    <t>Part complexity</t>
  </si>
  <si>
    <t>UNITS</t>
  </si>
  <si>
    <t xml:space="preserve">L </t>
  </si>
  <si>
    <t xml:space="preserve">W </t>
  </si>
  <si>
    <t xml:space="preserve">D </t>
  </si>
  <si>
    <t>Wall thickness</t>
  </si>
  <si>
    <t>H</t>
  </si>
  <si>
    <t>Parts to be made</t>
  </si>
  <si>
    <t>Not critical</t>
  </si>
  <si>
    <t>High quality opaque</t>
  </si>
  <si>
    <t>Transparent, optical</t>
  </si>
  <si>
    <t>ABS</t>
  </si>
  <si>
    <t>Polycarbonate</t>
  </si>
  <si>
    <t>Nylon</t>
  </si>
  <si>
    <t>Polypropylene</t>
  </si>
  <si>
    <t>Polystyrene</t>
  </si>
  <si>
    <t>What material?</t>
  </si>
  <si>
    <t>cts/cm3</t>
  </si>
  <si>
    <t>MATLL</t>
  </si>
  <si>
    <t>AP</t>
  </si>
  <si>
    <t>projected area</t>
  </si>
  <si>
    <t>Flat - negiglble depth</t>
  </si>
  <si>
    <t>Surface area</t>
  </si>
  <si>
    <t>SP</t>
  </si>
  <si>
    <t>TR</t>
  </si>
  <si>
    <t>Volume</t>
  </si>
  <si>
    <t>MATCOS</t>
  </si>
  <si>
    <t>cost of material</t>
  </si>
  <si>
    <t>filling time</t>
  </si>
  <si>
    <t>cooling time</t>
  </si>
  <si>
    <t>TC</t>
  </si>
  <si>
    <t>cycle time</t>
  </si>
  <si>
    <t>TMAC</t>
  </si>
  <si>
    <t xml:space="preserve">AT </t>
  </si>
  <si>
    <t>size effect</t>
  </si>
  <si>
    <t xml:space="preserve">TX </t>
  </si>
  <si>
    <t>texture score</t>
  </si>
  <si>
    <t>GC</t>
  </si>
  <si>
    <t>PSP</t>
  </si>
  <si>
    <t>tolerance dependence</t>
  </si>
  <si>
    <t xml:space="preserve">TH </t>
  </si>
  <si>
    <t>finish dependence</t>
  </si>
  <si>
    <t>CL</t>
  </si>
  <si>
    <t>cost per cavity</t>
  </si>
  <si>
    <t>CRL</t>
  </si>
  <si>
    <t>CRN</t>
  </si>
  <si>
    <t>NCC</t>
  </si>
  <si>
    <t xml:space="preserve">NC </t>
  </si>
  <si>
    <t>number of cavities</t>
  </si>
  <si>
    <t>HP</t>
  </si>
  <si>
    <t>Aca</t>
  </si>
  <si>
    <t>CB</t>
  </si>
  <si>
    <t>plate cost</t>
  </si>
  <si>
    <t>CN</t>
  </si>
  <si>
    <t>multicavity cost</t>
  </si>
  <si>
    <t>Mcost</t>
  </si>
  <si>
    <t>moldcost</t>
  </si>
  <si>
    <t>KM</t>
  </si>
  <si>
    <t>mold cost/part</t>
  </si>
  <si>
    <t xml:space="preserve">FK </t>
  </si>
  <si>
    <t>clamping force</t>
  </si>
  <si>
    <t>RC</t>
  </si>
  <si>
    <t>CPP</t>
  </si>
  <si>
    <t>working cost/part</t>
  </si>
  <si>
    <t>GTPP</t>
  </si>
  <si>
    <t>grand total/part</t>
  </si>
  <si>
    <t>Number of mold cavities</t>
  </si>
  <si>
    <t>Total mold cost</t>
  </si>
  <si>
    <t>Cycle time per heat</t>
  </si>
  <si>
    <t>sec</t>
  </si>
  <si>
    <t>working cost per part</t>
  </si>
  <si>
    <t>mold cost per part</t>
  </si>
  <si>
    <t>Cost of material/part</t>
  </si>
  <si>
    <t>Depth into mold</t>
  </si>
  <si>
    <t>Resetting time</t>
  </si>
  <si>
    <t>COST/cm3</t>
  </si>
  <si>
    <t>COST/in3</t>
  </si>
  <si>
    <t>$/in3</t>
  </si>
  <si>
    <t>Design Organization</t>
  </si>
  <si>
    <t>Mechanical Design Process</t>
  </si>
  <si>
    <t>Date</t>
  </si>
  <si>
    <t>Part Evaluated</t>
  </si>
  <si>
    <t>Injection Molded Plastic Part Cost Estimator</t>
  </si>
  <si>
    <t>The Mechanical Design Process</t>
  </si>
  <si>
    <t>Designed by Professor David G. Ullman</t>
  </si>
  <si>
    <t>Results</t>
  </si>
  <si>
    <t>Part on page 349 6th edition</t>
  </si>
  <si>
    <t>Copyright 2018</t>
  </si>
  <si>
    <t>Form #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</si>
</sst>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1" fontId="0" fillId="0" borderId="0" xfId="0" applyNumberFormat="1"/>
    <xf numFmtId="11" fontId="0" fillId="0" borderId="0" xfId="0" applyNumberFormat="1"/>
    <xf numFmtId="1" fontId="0" fillId="2" borderId="0" xfId="0" applyNumberFormat="1" applyFill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4" fontId="0" fillId="4" borderId="0" xfId="0" applyNumberFormat="1" applyFill="1"/>
    <xf numFmtId="0" fontId="0" fillId="4" borderId="1" xfId="0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/>
      <protection locked="0"/>
    </xf>
    <xf numFmtId="0" fontId="0" fillId="4" borderId="5" xfId="0" applyFill="1" applyBorder="1"/>
    <xf numFmtId="0" fontId="5" fillId="4" borderId="6" xfId="0" applyFont="1" applyFill="1" applyBorder="1" applyAlignment="1"/>
    <xf numFmtId="0" fontId="4" fillId="4" borderId="7" xfId="0" applyFont="1" applyFill="1" applyBorder="1" applyAlignment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8" fillId="4" borderId="6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0" xfId="0" applyFill="1" applyProtection="1">
      <protection locked="0"/>
    </xf>
    <xf numFmtId="3" fontId="0" fillId="3" borderId="0" xfId="0" applyNumberFormat="1" applyFill="1" applyProtection="1">
      <protection locked="0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49" fontId="9" fillId="4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Cost per part</a:t>
            </a:r>
          </a:p>
        </c:rich>
      </c:tx>
      <c:layout>
        <c:manualLayout>
          <c:xMode val="edge"/>
          <c:yMode val="edge"/>
          <c:x val="0.40687700430201884"/>
          <c:y val="3.3472914474139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62186444836696"/>
          <c:y val="0.18619308676240112"/>
          <c:w val="0.73209207464201298"/>
          <c:h val="0.5543951459779359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Inject!$D$6:$N$6</c:f>
              <c:numCache>
                <c:formatCode>General</c:formatCode>
                <c:ptCount val="11"/>
                <c:pt idx="0">
                  <c:v>100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5000</c:v>
                </c:pt>
                <c:pt idx="5">
                  <c:v>10000</c:v>
                </c:pt>
                <c:pt idx="6">
                  <c:v>50000</c:v>
                </c:pt>
                <c:pt idx="7">
                  <c:v>100000</c:v>
                </c:pt>
                <c:pt idx="8">
                  <c:v>500000</c:v>
                </c:pt>
                <c:pt idx="9" formatCode="0.00E+00">
                  <c:v>1000000</c:v>
                </c:pt>
                <c:pt idx="10" formatCode="0.00E+00">
                  <c:v>10000000</c:v>
                </c:pt>
              </c:numCache>
            </c:numRef>
          </c:xVal>
          <c:yVal>
            <c:numRef>
              <c:f>Inject!$D$33:$N$33</c:f>
              <c:numCache>
                <c:formatCode>General</c:formatCode>
                <c:ptCount val="11"/>
                <c:pt idx="0">
                  <c:v>376.80326614460267</c:v>
                </c:pt>
                <c:pt idx="1">
                  <c:v>150.89301315251399</c:v>
                </c:pt>
                <c:pt idx="2">
                  <c:v>75.589595488484406</c:v>
                </c:pt>
                <c:pt idx="3">
                  <c:v>37.937886656469608</c:v>
                </c:pt>
                <c:pt idx="4">
                  <c:v>7.8165195908577783</c:v>
                </c:pt>
                <c:pt idx="5">
                  <c:v>4.0513487076562988</c:v>
                </c:pt>
                <c:pt idx="6">
                  <c:v>1.039212001095116</c:v>
                </c:pt>
                <c:pt idx="7">
                  <c:v>0.66269491277496817</c:v>
                </c:pt>
                <c:pt idx="8">
                  <c:v>0.34057828463431905</c:v>
                </c:pt>
                <c:pt idx="9">
                  <c:v>0.27486420020182528</c:v>
                </c:pt>
                <c:pt idx="10">
                  <c:v>0.17509514941413273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AD-4DF5-9BDF-93AC1767911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\$#,##0.00" sourceLinked="0"/>
              <c:spPr>
                <a:solidFill>
                  <a:srgbClr val="FF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AD-4DF5-9BDF-93AC1767911D}"/>
                </c:ext>
              </c:extLst>
            </c:dLbl>
            <c:spPr>
              <a:solidFill>
                <a:srgbClr val="FF00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Inject!$O$6</c:f>
              <c:numCache>
                <c:formatCode>General</c:formatCode>
                <c:ptCount val="1"/>
                <c:pt idx="0">
                  <c:v>1000000</c:v>
                </c:pt>
              </c:numCache>
            </c:numRef>
          </c:xVal>
          <c:yVal>
            <c:numRef>
              <c:f>Inject!$O$33</c:f>
              <c:numCache>
                <c:formatCode>General</c:formatCode>
                <c:ptCount val="1"/>
                <c:pt idx="0">
                  <c:v>0.27486420020182528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AD-4DF5-9BDF-93AC17679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50720"/>
        <c:axId val="66063744"/>
      </c:scatterChart>
      <c:valAx>
        <c:axId val="53950720"/>
        <c:scaling>
          <c:logBase val="10"/>
          <c:orientation val="minMax"/>
          <c:max val="100000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batch</a:t>
                </a:r>
              </a:p>
            </c:rich>
          </c:tx>
          <c:layout>
            <c:manualLayout>
              <c:xMode val="edge"/>
              <c:yMode val="edge"/>
              <c:x val="0.42406899039928725"/>
              <c:y val="0.88703223356469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63744"/>
        <c:crossesAt val="0.1"/>
        <c:crossBetween val="midCat"/>
        <c:majorUnit val="10"/>
        <c:minorUnit val="10"/>
      </c:valAx>
      <c:valAx>
        <c:axId val="6606374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US$</a:t>
                </a:r>
              </a:p>
            </c:rich>
          </c:tx>
          <c:layout>
            <c:manualLayout>
              <c:xMode val="edge"/>
              <c:yMode val="edge"/>
              <c:x val="2.7220644654008308E-2"/>
              <c:y val="0.41631937377211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07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List" dx="20" fmlaLink="Input!$A$9" fmlaRange="Input!$A$6:$A$8" noThreeD="1" sel="2" val="0"/>
</file>

<file path=xl/ctrlProps/ctrlProp2.xml><?xml version="1.0" encoding="utf-8"?>
<formControlPr xmlns="http://schemas.microsoft.com/office/spreadsheetml/2009/9/main" objectType="List" dx="20" fmlaLink="Input!$A$5" fmlaRange="Input!$A$2:$A$4" sel="2" val="0"/>
</file>

<file path=xl/ctrlProps/ctrlProp3.xml><?xml version="1.0" encoding="utf-8"?>
<formControlPr xmlns="http://schemas.microsoft.com/office/spreadsheetml/2009/9/main" objectType="List" dx="20" fmlaLink="Input!$A$13" fmlaRange="Input!$A$11:$A$12" noThreeD="1" sel="1" val="0"/>
</file>

<file path=xl/ctrlProps/ctrlProp4.xml><?xml version="1.0" encoding="utf-8"?>
<formControlPr xmlns="http://schemas.microsoft.com/office/spreadsheetml/2009/9/main" objectType="List" dx="20" fmlaLink="Input!$A$17" fmlaRange="Input!$A$14:$A$16" noThreeD="1" sel="2" val="0"/>
</file>

<file path=xl/ctrlProps/ctrlProp5.xml><?xml version="1.0" encoding="utf-8"?>
<formControlPr xmlns="http://schemas.microsoft.com/office/spreadsheetml/2009/9/main" objectType="List" dx="20" fmlaLink="Input!$A$21" fmlaRange="Input!$A$18:$A$20" noThreeD="1" sel="1" val="0"/>
</file>

<file path=xl/ctrlProps/ctrlProp6.xml><?xml version="1.0" encoding="utf-8"?>
<formControlPr xmlns="http://schemas.microsoft.com/office/spreadsheetml/2009/9/main" objectType="List" dx="20" fmlaLink="Input!$A$28" fmlaRange="Input!$A$23:$A$27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23</xdr:row>
      <xdr:rowOff>38100</xdr:rowOff>
    </xdr:from>
    <xdr:to>
      <xdr:col>9</xdr:col>
      <xdr:colOff>556260</xdr:colOff>
      <xdr:row>44</xdr:row>
      <xdr:rowOff>160020</xdr:rowOff>
    </xdr:to>
    <xdr:graphicFrame macro="">
      <xdr:nvGraphicFramePr>
        <xdr:cNvPr id="1039" name="Chart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5</xdr:row>
          <xdr:rowOff>45720</xdr:rowOff>
        </xdr:from>
        <xdr:to>
          <xdr:col>5</xdr:col>
          <xdr:colOff>1432560</xdr:colOff>
          <xdr:row>7</xdr:row>
          <xdr:rowOff>137160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30480</xdr:rowOff>
        </xdr:from>
        <xdr:to>
          <xdr:col>3</xdr:col>
          <xdr:colOff>121920</xdr:colOff>
          <xdr:row>7</xdr:row>
          <xdr:rowOff>121920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9</xdr:row>
          <xdr:rowOff>22860</xdr:rowOff>
        </xdr:from>
        <xdr:to>
          <xdr:col>2</xdr:col>
          <xdr:colOff>236220</xdr:colOff>
          <xdr:row>10</xdr:row>
          <xdr:rowOff>144780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9</xdr:row>
          <xdr:rowOff>38100</xdr:rowOff>
        </xdr:from>
        <xdr:to>
          <xdr:col>5</xdr:col>
          <xdr:colOff>1341120</xdr:colOff>
          <xdr:row>11</xdr:row>
          <xdr:rowOff>129540</xdr:rowOff>
        </xdr:to>
        <xdr:sp macro="" textlink="">
          <xdr:nvSpPr>
            <xdr:cNvPr id="1033" name="List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5</xdr:row>
          <xdr:rowOff>0</xdr:rowOff>
        </xdr:from>
        <xdr:to>
          <xdr:col>10</xdr:col>
          <xdr:colOff>152400</xdr:colOff>
          <xdr:row>7</xdr:row>
          <xdr:rowOff>91440</xdr:rowOff>
        </xdr:to>
        <xdr:sp macro="" textlink="">
          <xdr:nvSpPr>
            <xdr:cNvPr id="1034" name="List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312420</xdr:colOff>
          <xdr:row>9</xdr:row>
          <xdr:rowOff>30480</xdr:rowOff>
        </xdr:from>
        <xdr:to>
          <xdr:col>9</xdr:col>
          <xdr:colOff>571500</xdr:colOff>
          <xdr:row>13</xdr:row>
          <xdr:rowOff>38100</xdr:rowOff>
        </xdr:to>
        <xdr:sp macro="" textlink="">
          <xdr:nvSpPr>
            <xdr:cNvPr id="1040" name="List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0"/>
  <sheetViews>
    <sheetView tabSelected="1" topLeftCell="A22" workbookViewId="0">
      <selection activeCell="M13" sqref="M13"/>
    </sheetView>
  </sheetViews>
  <sheetFormatPr defaultRowHeight="13.2" x14ac:dyDescent="0.25"/>
  <cols>
    <col min="1" max="1" width="4" customWidth="1"/>
    <col min="2" max="2" width="14.33203125" customWidth="1"/>
    <col min="3" max="3" width="4.44140625" customWidth="1"/>
    <col min="5" max="5" width="4.6640625" customWidth="1"/>
    <col min="6" max="6" width="21.44140625" customWidth="1"/>
    <col min="7" max="7" width="6.44140625" customWidth="1"/>
    <col min="8" max="8" width="5.109375" customWidth="1"/>
    <col min="9" max="9" width="5.6640625" customWidth="1"/>
    <col min="10" max="10" width="10.44140625" customWidth="1"/>
    <col min="11" max="11" width="3.33203125" style="7" customWidth="1"/>
  </cols>
  <sheetData>
    <row r="1" spans="1:11" ht="21" thickBot="1" x14ac:dyDescent="0.4">
      <c r="A1" s="11"/>
      <c r="B1" s="33" t="s">
        <v>109</v>
      </c>
      <c r="C1" s="33"/>
      <c r="D1" s="33"/>
      <c r="E1" s="33"/>
      <c r="F1" s="33"/>
      <c r="G1" s="33"/>
      <c r="H1" s="33"/>
      <c r="I1" s="33"/>
      <c r="J1" s="33"/>
      <c r="K1" s="34"/>
    </row>
    <row r="2" spans="1:11" ht="21" thickBot="1" x14ac:dyDescent="0.4">
      <c r="A2" s="11"/>
      <c r="B2" s="14" t="s">
        <v>105</v>
      </c>
      <c r="C2" s="15"/>
      <c r="D2" s="35" t="s">
        <v>106</v>
      </c>
      <c r="E2" s="36"/>
      <c r="F2" s="37"/>
      <c r="G2" s="12"/>
      <c r="H2" s="12"/>
      <c r="I2" s="16" t="s">
        <v>107</v>
      </c>
      <c r="J2" s="17"/>
      <c r="K2" s="13"/>
    </row>
    <row r="3" spans="1:11" ht="21" thickBot="1" x14ac:dyDescent="0.4">
      <c r="A3" s="18"/>
      <c r="B3" s="19" t="s">
        <v>108</v>
      </c>
      <c r="C3" s="20"/>
      <c r="D3" s="35" t="s">
        <v>113</v>
      </c>
      <c r="E3" s="36"/>
      <c r="F3" s="37"/>
      <c r="G3" s="21"/>
      <c r="H3" s="21"/>
      <c r="I3" s="21"/>
      <c r="J3" s="21"/>
      <c r="K3" s="22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 x14ac:dyDescent="0.25">
      <c r="A5" s="7"/>
      <c r="B5" s="7" t="s">
        <v>17</v>
      </c>
      <c r="C5" s="7"/>
      <c r="D5" s="7"/>
      <c r="E5" s="7" t="s">
        <v>27</v>
      </c>
      <c r="F5" s="7"/>
      <c r="G5" s="7"/>
      <c r="H5" s="7" t="s">
        <v>10</v>
      </c>
      <c r="I5" s="7"/>
      <c r="J5" s="7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1" x14ac:dyDescent="0.25">
      <c r="A9" s="7"/>
      <c r="B9" s="7" t="s">
        <v>26</v>
      </c>
      <c r="C9" s="7"/>
      <c r="D9" s="7"/>
      <c r="E9" s="7" t="s">
        <v>11</v>
      </c>
      <c r="F9" s="7"/>
      <c r="G9" s="7"/>
      <c r="H9" s="7" t="s">
        <v>43</v>
      </c>
      <c r="I9" s="7"/>
      <c r="J9" s="7"/>
    </row>
    <row r="10" spans="1:11" x14ac:dyDescent="0.25">
      <c r="A10" s="7"/>
      <c r="C10" s="7"/>
      <c r="D10" s="7"/>
      <c r="E10" s="7"/>
      <c r="F10" s="7"/>
      <c r="G10" s="7"/>
      <c r="H10" s="7"/>
      <c r="I10" s="7"/>
      <c r="J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5">
      <c r="A13" s="7"/>
      <c r="B13" s="7" t="str">
        <f>IF(Input!A$5=3,"Diamerter", "Length")</f>
        <v>Length</v>
      </c>
      <c r="C13" s="7"/>
      <c r="D13" s="31">
        <v>3.7</v>
      </c>
      <c r="E13" s="7"/>
      <c r="F13" s="7"/>
      <c r="G13" s="7"/>
      <c r="H13" s="7"/>
      <c r="I13" s="7"/>
      <c r="J13" s="7"/>
    </row>
    <row r="14" spans="1:11" ht="13.8" thickBot="1" x14ac:dyDescent="0.3">
      <c r="A14" s="7"/>
      <c r="B14" s="7" t="str">
        <f>IF(Input!A$5=3,"", "Width")</f>
        <v>Width</v>
      </c>
      <c r="C14" s="7"/>
      <c r="D14" s="31">
        <v>1.77</v>
      </c>
      <c r="E14" s="7"/>
      <c r="F14" s="27"/>
      <c r="G14" s="27"/>
      <c r="H14" s="27"/>
      <c r="I14" s="27"/>
      <c r="J14" s="27"/>
      <c r="K14" s="27"/>
    </row>
    <row r="15" spans="1:11" x14ac:dyDescent="0.25">
      <c r="A15" s="7"/>
      <c r="B15" s="7" t="s">
        <v>100</v>
      </c>
      <c r="C15" s="7"/>
      <c r="D15" s="31">
        <v>1.6</v>
      </c>
      <c r="E15" s="7"/>
      <c r="F15" s="29" t="s">
        <v>93</v>
      </c>
      <c r="G15" s="8">
        <f>ROUNDDOWN(Inject!O23,0)</f>
        <v>3</v>
      </c>
      <c r="H15" s="7"/>
      <c r="I15" s="7"/>
      <c r="J15" s="7"/>
    </row>
    <row r="16" spans="1:11" x14ac:dyDescent="0.25">
      <c r="A16" s="7"/>
      <c r="B16" s="7" t="s">
        <v>32</v>
      </c>
      <c r="C16" s="7"/>
      <c r="D16" s="31">
        <v>0.1</v>
      </c>
      <c r="E16" s="7"/>
      <c r="F16" s="30" t="s">
        <v>94</v>
      </c>
      <c r="G16" s="7">
        <f>Inject!O28</f>
        <v>89251.791960430477</v>
      </c>
      <c r="H16" s="7" t="s">
        <v>13</v>
      </c>
      <c r="I16" s="7"/>
      <c r="J16" s="7"/>
    </row>
    <row r="17" spans="1:10" x14ac:dyDescent="0.25">
      <c r="A17" s="7"/>
      <c r="B17" s="7" t="s">
        <v>34</v>
      </c>
      <c r="C17" s="7"/>
      <c r="D17" s="32">
        <v>1000000</v>
      </c>
      <c r="E17" s="7"/>
      <c r="F17" s="30" t="s">
        <v>95</v>
      </c>
      <c r="G17" s="9">
        <f>Inject!O14/G15</f>
        <v>2.4060939428196817</v>
      </c>
      <c r="H17" s="7" t="s">
        <v>96</v>
      </c>
      <c r="I17" s="7"/>
      <c r="J17" s="7"/>
    </row>
    <row r="18" spans="1:10" x14ac:dyDescent="0.25">
      <c r="A18" s="7"/>
      <c r="B18" s="7" t="s">
        <v>3</v>
      </c>
      <c r="C18" s="7"/>
      <c r="D18" s="31">
        <v>35</v>
      </c>
      <c r="E18" s="7" t="s">
        <v>13</v>
      </c>
      <c r="F18" s="30" t="s">
        <v>97</v>
      </c>
      <c r="G18" s="9">
        <f>Inject!O32</f>
        <v>4.8612408241394796E-2</v>
      </c>
      <c r="H18" s="7" t="s">
        <v>15</v>
      </c>
      <c r="I18" s="7"/>
      <c r="J18" s="7"/>
    </row>
    <row r="19" spans="1:10" ht="13.8" thickBot="1" x14ac:dyDescent="0.3">
      <c r="A19" s="27"/>
      <c r="B19" s="27"/>
      <c r="C19" s="27"/>
      <c r="D19" s="27"/>
      <c r="E19" s="27"/>
      <c r="F19" s="30" t="s">
        <v>98</v>
      </c>
      <c r="G19" s="10">
        <f>Inject!O29</f>
        <v>8.9251791960430482E-2</v>
      </c>
      <c r="H19" s="7" t="s">
        <v>13</v>
      </c>
      <c r="I19" s="7"/>
      <c r="J19" s="7"/>
    </row>
    <row r="20" spans="1:10" x14ac:dyDescent="0.25">
      <c r="A20" s="7"/>
      <c r="B20" s="7"/>
      <c r="C20" s="7"/>
      <c r="D20" s="7"/>
      <c r="E20" s="7"/>
      <c r="F20" s="7" t="s">
        <v>99</v>
      </c>
      <c r="G20" s="10">
        <f>Inject!O11</f>
        <v>6.4771650215999996E-2</v>
      </c>
      <c r="H20" s="7" t="s">
        <v>13</v>
      </c>
      <c r="I20" s="7"/>
      <c r="J20" s="7"/>
    </row>
    <row r="21" spans="1:10" x14ac:dyDescent="0.25">
      <c r="A21" s="7"/>
      <c r="B21" s="7" t="s">
        <v>112</v>
      </c>
      <c r="C21" s="7"/>
      <c r="D21" s="7"/>
      <c r="E21" s="7"/>
      <c r="F21" s="7" t="s">
        <v>97</v>
      </c>
      <c r="G21" s="10">
        <f>Inject!O32</f>
        <v>4.8612408241394796E-2</v>
      </c>
      <c r="H21" s="7" t="s">
        <v>13</v>
      </c>
      <c r="I21" s="7"/>
      <c r="J21" s="7"/>
    </row>
    <row r="22" spans="1:10" x14ac:dyDescent="0.25">
      <c r="A22" s="7"/>
      <c r="B22" s="7"/>
      <c r="C22" s="7"/>
      <c r="D22" s="7"/>
      <c r="E22" s="7"/>
      <c r="F22" s="7" t="s">
        <v>16</v>
      </c>
      <c r="G22" s="10">
        <f>Inject!O33</f>
        <v>0.27486420020182528</v>
      </c>
      <c r="H22" s="7" t="s">
        <v>13</v>
      </c>
      <c r="I22" s="7"/>
      <c r="J22" s="7"/>
    </row>
    <row r="23" spans="1:10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3.8" thickBo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1" x14ac:dyDescent="0.25">
      <c r="A49" s="11"/>
      <c r="B49" s="23" t="s">
        <v>110</v>
      </c>
      <c r="C49" s="24"/>
      <c r="D49" s="24"/>
      <c r="E49" s="24"/>
      <c r="F49" s="24" t="s">
        <v>111</v>
      </c>
      <c r="G49" s="24"/>
      <c r="H49" s="24"/>
      <c r="I49" s="24"/>
      <c r="J49" s="24"/>
      <c r="K49" s="25"/>
    </row>
    <row r="50" spans="1:11" ht="13.8" thickBot="1" x14ac:dyDescent="0.3">
      <c r="A50" s="18"/>
      <c r="B50" s="26" t="s">
        <v>114</v>
      </c>
      <c r="C50" s="27"/>
      <c r="D50" s="27"/>
      <c r="E50" s="27"/>
      <c r="F50" s="27"/>
      <c r="G50" s="38" t="s">
        <v>115</v>
      </c>
      <c r="H50" s="27"/>
      <c r="I50" s="27"/>
      <c r="J50" s="27"/>
      <c r="K50" s="28"/>
    </row>
  </sheetData>
  <sheetProtection sheet="1" objects="1" scenarios="1"/>
  <mergeCells count="3">
    <mergeCell ref="B1:K1"/>
    <mergeCell ref="D2:F2"/>
    <mergeCell ref="D3:F3"/>
  </mergeCells>
  <phoneticPr fontId="1" type="noConversion"/>
  <pageMargins left="0.75" right="0.75" top="1" bottom="1" header="0.5" footer="0.5"/>
  <pageSetup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List Box 4">
              <controlPr defaultSize="0" autoLine="0" autoPict="0">
                <anchor moveWithCells="1">
                  <from>
                    <xdr:col>4</xdr:col>
                    <xdr:colOff>281940</xdr:colOff>
                    <xdr:row>5</xdr:row>
                    <xdr:rowOff>45720</xdr:rowOff>
                  </from>
                  <to>
                    <xdr:col>5</xdr:col>
                    <xdr:colOff>1432560</xdr:colOff>
                    <xdr:row>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 sizeWithCells="1">
                  <from>
                    <xdr:col>1</xdr:col>
                    <xdr:colOff>0</xdr:colOff>
                    <xdr:row>5</xdr:row>
                    <xdr:rowOff>30480</xdr:rowOff>
                  </from>
                  <to>
                    <xdr:col>3</xdr:col>
                    <xdr:colOff>121920</xdr:colOff>
                    <xdr:row>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List Box 8">
              <controlPr defaultSize="0" autoLine="0" autoPict="0">
                <anchor moveWithCells="1">
                  <from>
                    <xdr:col>1</xdr:col>
                    <xdr:colOff>22860</xdr:colOff>
                    <xdr:row>9</xdr:row>
                    <xdr:rowOff>22860</xdr:rowOff>
                  </from>
                  <to>
                    <xdr:col>2</xdr:col>
                    <xdr:colOff>236220</xdr:colOff>
                    <xdr:row>10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List Box 9">
              <controlPr defaultSize="0" autoLine="0" autoPict="0">
                <anchor moveWithCells="1">
                  <from>
                    <xdr:col>4</xdr:col>
                    <xdr:colOff>243840</xdr:colOff>
                    <xdr:row>9</xdr:row>
                    <xdr:rowOff>38100</xdr:rowOff>
                  </from>
                  <to>
                    <xdr:col>5</xdr:col>
                    <xdr:colOff>1341120</xdr:colOff>
                    <xdr:row>11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List Box 10">
              <controlPr defaultSize="0" autoLine="0" autoPict="0">
                <anchor moveWithCells="1">
                  <from>
                    <xdr:col>7</xdr:col>
                    <xdr:colOff>213360</xdr:colOff>
                    <xdr:row>5</xdr:row>
                    <xdr:rowOff>0</xdr:rowOff>
                  </from>
                  <to>
                    <xdr:col>10</xdr:col>
                    <xdr:colOff>152400</xdr:colOff>
                    <xdr:row>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List Box 16">
              <controlPr defaultSize="0" autoLine="0" autoPict="0">
                <anchor moveWithCells="1" sizeWithCells="1">
                  <from>
                    <xdr:col>7</xdr:col>
                    <xdr:colOff>312420</xdr:colOff>
                    <xdr:row>9</xdr:row>
                    <xdr:rowOff>30480</xdr:rowOff>
                  </from>
                  <to>
                    <xdr:col>9</xdr:col>
                    <xdr:colOff>571500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workbookViewId="0">
      <selection activeCell="D23" sqref="D23"/>
    </sheetView>
  </sheetViews>
  <sheetFormatPr defaultRowHeight="13.2" x14ac:dyDescent="0.25"/>
  <cols>
    <col min="2" max="2" width="14.109375" customWidth="1"/>
    <col min="11" max="11" width="9.109375" style="1" customWidth="1"/>
    <col min="15" max="15" width="9.109375" style="1" customWidth="1"/>
  </cols>
  <sheetData>
    <row r="1" spans="1:15" x14ac:dyDescent="0.25">
      <c r="A1" t="s">
        <v>0</v>
      </c>
    </row>
    <row r="2" spans="1:15" x14ac:dyDescent="0.25">
      <c r="A2" s="1" t="s">
        <v>29</v>
      </c>
      <c r="D2">
        <f>IF(Input!$A$13=1,Main!$D13, Main!$D13/2.54)</f>
        <v>3.7</v>
      </c>
      <c r="E2">
        <f>IF(Input!$A$13=1,Main!$D13, Main!$D13/2.54)</f>
        <v>3.7</v>
      </c>
      <c r="F2">
        <f>IF(Input!$A$13=1,Main!$D13, Main!$D13/2.54)</f>
        <v>3.7</v>
      </c>
      <c r="G2">
        <f>IF(Input!$A$13=1,Main!$D13, Main!$D13/2.54)</f>
        <v>3.7</v>
      </c>
      <c r="H2">
        <f>IF(Input!$A$13=1,Main!$D13, Main!$D13/2.54)</f>
        <v>3.7</v>
      </c>
      <c r="I2">
        <f>IF(Input!$A$13=1,Main!$D13, Main!$D13/2.54)</f>
        <v>3.7</v>
      </c>
      <c r="J2">
        <f>IF(Input!$A$13=1,Main!$D13, Main!$D13/2.54)</f>
        <v>3.7</v>
      </c>
      <c r="K2">
        <f>IF(Input!$A$13=1,Main!$D13, Main!$D13/2.54)</f>
        <v>3.7</v>
      </c>
      <c r="L2">
        <f>IF(Input!$A$13=1,Main!$D13, Main!$D13/2.54)</f>
        <v>3.7</v>
      </c>
      <c r="M2">
        <f>IF(Input!$A$13=1,Main!$D13, Main!$D13/2.54)</f>
        <v>3.7</v>
      </c>
      <c r="N2">
        <f>IF(Input!$A$13=1,Main!$D13, Main!$D13/2.54)</f>
        <v>3.7</v>
      </c>
      <c r="O2">
        <f>IF(Input!$A$13=1,Main!$D13, Main!$D13/2.54)</f>
        <v>3.7</v>
      </c>
    </row>
    <row r="3" spans="1:15" x14ac:dyDescent="0.25">
      <c r="A3" s="1" t="s">
        <v>30</v>
      </c>
      <c r="D3">
        <f>IF(Input!$A$13=1,Main!$D14, Main!$D14/2.54)</f>
        <v>1.77</v>
      </c>
      <c r="E3">
        <f>IF(Input!$A$13=1,Main!$D14, Main!$D14/2.54)</f>
        <v>1.77</v>
      </c>
      <c r="F3">
        <f>IF(Input!$A$13=1,Main!$D14, Main!$D14/2.54)</f>
        <v>1.77</v>
      </c>
      <c r="G3">
        <f>IF(Input!$A$13=1,Main!$D14, Main!$D14/2.54)</f>
        <v>1.77</v>
      </c>
      <c r="H3">
        <f>IF(Input!$A$13=1,Main!$D14, Main!$D14/2.54)</f>
        <v>1.77</v>
      </c>
      <c r="I3">
        <f>IF(Input!$A$13=1,Main!$D14, Main!$D14/2.54)</f>
        <v>1.77</v>
      </c>
      <c r="J3">
        <f>IF(Input!$A$13=1,Main!$D14, Main!$D14/2.54)</f>
        <v>1.77</v>
      </c>
      <c r="K3">
        <f>IF(Input!$A$13=1,Main!$D14, Main!$D14/2.54)</f>
        <v>1.77</v>
      </c>
      <c r="L3">
        <f>IF(Input!$A$13=1,Main!$D14, Main!$D14/2.54)</f>
        <v>1.77</v>
      </c>
      <c r="M3">
        <f>IF(Input!$A$13=1,Main!$D14, Main!$D14/2.54)</f>
        <v>1.77</v>
      </c>
      <c r="N3">
        <f>IF(Input!$A$13=1,Main!$D14, Main!$D14/2.54)</f>
        <v>1.77</v>
      </c>
      <c r="O3">
        <f>IF(Input!$A$13=1,Main!$D14, Main!$D14/2.54)</f>
        <v>1.77</v>
      </c>
    </row>
    <row r="4" spans="1:15" x14ac:dyDescent="0.25">
      <c r="A4" s="1" t="s">
        <v>31</v>
      </c>
      <c r="D4">
        <f>IF(Input!$A$13=1,Main!$D15, Main!$D15/2.54)</f>
        <v>1.6</v>
      </c>
      <c r="E4">
        <f>IF(Input!$A$13=1,Main!$D15, Main!$D15/2.54)</f>
        <v>1.6</v>
      </c>
      <c r="F4">
        <f>IF(Input!$A$13=1,Main!$D15, Main!$D15/2.54)</f>
        <v>1.6</v>
      </c>
      <c r="G4">
        <f>IF(Input!$A$13=1,Main!$D15, Main!$D15/2.54)</f>
        <v>1.6</v>
      </c>
      <c r="H4">
        <f>IF(Input!$A$13=1,Main!$D15, Main!$D15/2.54)</f>
        <v>1.6</v>
      </c>
      <c r="I4">
        <f>IF(Input!$A$13=1,Main!$D15, Main!$D15/2.54)</f>
        <v>1.6</v>
      </c>
      <c r="J4">
        <f>IF(Input!$A$13=1,Main!$D15, Main!$D15/2.54)</f>
        <v>1.6</v>
      </c>
      <c r="K4">
        <f>IF(Input!$A$13=1,Main!$D15, Main!$D15/2.54)</f>
        <v>1.6</v>
      </c>
      <c r="L4">
        <f>IF(Input!$A$13=1,Main!$D15, Main!$D15/2.54)</f>
        <v>1.6</v>
      </c>
      <c r="M4">
        <f>IF(Input!$A$13=1,Main!$D15, Main!$D15/2.54)</f>
        <v>1.6</v>
      </c>
      <c r="N4">
        <f>IF(Input!$A$13=1,Main!$D15, Main!$D15/2.54)</f>
        <v>1.6</v>
      </c>
      <c r="O4">
        <f>IF(Input!$A$13=1,Main!$D15, Main!$D15/2.54)</f>
        <v>1.6</v>
      </c>
    </row>
    <row r="5" spans="1:15" x14ac:dyDescent="0.25">
      <c r="A5" s="1" t="s">
        <v>33</v>
      </c>
      <c r="D5">
        <f>IF(Input!$A$13=1,Main!$D16, Main!$D16/2.54)</f>
        <v>0.1</v>
      </c>
      <c r="E5">
        <f>IF(Input!$A$13=1,Main!$D16, Main!$D16/2.54)</f>
        <v>0.1</v>
      </c>
      <c r="F5">
        <f>IF(Input!$A$13=1,Main!$D16, Main!$D16/2.54)</f>
        <v>0.1</v>
      </c>
      <c r="G5">
        <f>IF(Input!$A$13=1,Main!$D16, Main!$D16/2.54)</f>
        <v>0.1</v>
      </c>
      <c r="H5">
        <f>IF(Input!$A$13=1,Main!$D16, Main!$D16/2.54)</f>
        <v>0.1</v>
      </c>
      <c r="I5">
        <f>IF(Input!$A$13=1,Main!$D16, Main!$D16/2.54)</f>
        <v>0.1</v>
      </c>
      <c r="J5">
        <f>IF(Input!$A$13=1,Main!$D16, Main!$D16/2.54)</f>
        <v>0.1</v>
      </c>
      <c r="K5">
        <f>IF(Input!$A$13=1,Main!$D16, Main!$D16/2.54)</f>
        <v>0.1</v>
      </c>
      <c r="L5">
        <f>IF(Input!$A$13=1,Main!$D16, Main!$D16/2.54)</f>
        <v>0.1</v>
      </c>
      <c r="M5">
        <f>IF(Input!$A$13=1,Main!$D16, Main!$D16/2.54)</f>
        <v>0.1</v>
      </c>
      <c r="N5">
        <f>IF(Input!$A$13=1,Main!$D16, Main!$D16/2.54)</f>
        <v>0.1</v>
      </c>
      <c r="O5">
        <f>IF(Input!$A$13=1,Main!$D16, Main!$D16/2.54)</f>
        <v>0.1</v>
      </c>
    </row>
    <row r="6" spans="1:15" x14ac:dyDescent="0.25">
      <c r="A6" s="1" t="s">
        <v>2</v>
      </c>
      <c r="B6" t="s">
        <v>1</v>
      </c>
      <c r="D6">
        <v>100</v>
      </c>
      <c r="E6">
        <v>250</v>
      </c>
      <c r="F6">
        <v>500</v>
      </c>
      <c r="G6">
        <v>1000</v>
      </c>
      <c r="H6">
        <v>5000</v>
      </c>
      <c r="I6">
        <v>10000</v>
      </c>
      <c r="J6">
        <v>50000</v>
      </c>
      <c r="K6" s="1">
        <v>100000</v>
      </c>
      <c r="L6">
        <v>500000</v>
      </c>
      <c r="M6" s="5">
        <v>1000000</v>
      </c>
      <c r="N6" s="5">
        <v>10000000</v>
      </c>
      <c r="O6" s="1">
        <f>Main!D17</f>
        <v>1000000</v>
      </c>
    </row>
    <row r="7" spans="1:15" x14ac:dyDescent="0.25">
      <c r="A7" s="3" t="s">
        <v>46</v>
      </c>
      <c r="B7" t="s">
        <v>47</v>
      </c>
      <c r="D7">
        <f>IF(Input!$A5=1,D2*D3,IF(Input!$A5=2,D2*D3,0.785*D2^2))</f>
        <v>6.5490000000000004</v>
      </c>
      <c r="E7">
        <f>IF(Input!$A5=1,E2*E3,IF(Input!$A5=2,E2*E3,0.785*E2^2))</f>
        <v>6.5490000000000004</v>
      </c>
      <c r="F7">
        <f>IF(Input!$A5=1,F2*F3,IF(Input!$A5=2,F2*F3,0.785*F2^2))</f>
        <v>6.5490000000000004</v>
      </c>
      <c r="G7">
        <f>IF(Input!$A5=1,G2*G3,IF(Input!$A5=2,G2*G3,0.785*G2^2))</f>
        <v>6.5490000000000004</v>
      </c>
      <c r="H7">
        <f>IF(Input!$A5=1,H2*H3,IF(Input!$A5=2,H2*H3,0.785*H2^2))</f>
        <v>6.5490000000000004</v>
      </c>
      <c r="I7">
        <f>IF(Input!$A5=1,I2*I3,IF(Input!$A5=2,I2*I3,0.785*I2^2))</f>
        <v>6.5490000000000004</v>
      </c>
      <c r="J7">
        <f>IF(Input!$A5=1,J2*J3,IF(Input!$A5=2,J2*J3,0.785*J2^2))</f>
        <v>6.5490000000000004</v>
      </c>
      <c r="K7">
        <f>IF(Input!$A5=1,K2*K3,IF(Input!$A5=2,K2*K3,0.785*K2^2))</f>
        <v>6.5490000000000004</v>
      </c>
      <c r="L7">
        <f>IF(Input!$A5=1,L2*L3,IF(Input!$A5=2,L2*L3,0.785*L2^2))</f>
        <v>6.5490000000000004</v>
      </c>
      <c r="M7">
        <f>IF(Input!$A5=1,M2*M3,IF(Input!$A5=2,M2*M3,0.785*M2^2))</f>
        <v>6.5490000000000004</v>
      </c>
      <c r="N7">
        <f>IF(Input!$A5=1,N2*N3,IF(Input!$A5=2,N2*N3,0.785*N2^2))</f>
        <v>6.5490000000000004</v>
      </c>
      <c r="O7">
        <f>IF(Input!$A5=1,O2*O3,IF(Input!$A5=2,O2*O3,0.785*O2^2))</f>
        <v>6.5490000000000004</v>
      </c>
    </row>
    <row r="8" spans="1:15" x14ac:dyDescent="0.25">
      <c r="A8" s="3" t="s">
        <v>50</v>
      </c>
      <c r="B8" s="3" t="s">
        <v>49</v>
      </c>
      <c r="D8">
        <f>IF(Input!$A5=1,2*D2*D3,IF(Input!$A5=2,D2*D3+D2*D4+D3*D4,3.14*D2*D4+3.14*D2^2/4))</f>
        <v>15.301000000000002</v>
      </c>
      <c r="E8">
        <f>IF(Input!$A5=1,2*E2*E3,IF(Input!$A5=2,E2*E3+E2*E4+E3*E4,3.14*E2*E4+3.14*E2^2/4))</f>
        <v>15.301000000000002</v>
      </c>
      <c r="F8">
        <f>IF(Input!$A5=1,2*F2*F3,IF(Input!$A5=2,F2*F3+F2*F4+F3*F4,3.14*F2*F4+3.14*F2^2/4))</f>
        <v>15.301000000000002</v>
      </c>
      <c r="G8">
        <f>IF(Input!$A5=1,2*G2*G3,IF(Input!$A5=2,G2*G3+G2*G4+G3*G4,3.14*G2*G4+3.14*G2^2/4))</f>
        <v>15.301000000000002</v>
      </c>
      <c r="H8">
        <f>IF(Input!$A5=1,2*H2*H3,IF(Input!$A5=2,H2*H3+H2*H4+H3*H4,3.14*H2*H4+3.14*H2^2/4))</f>
        <v>15.301000000000002</v>
      </c>
      <c r="I8">
        <f>IF(Input!$A5=1,2*I2*I3,IF(Input!$A5=2,I2*I3+I2*I4+I3*I4,3.14*I2*I4+3.14*I2^2/4))</f>
        <v>15.301000000000002</v>
      </c>
      <c r="J8">
        <f>IF(Input!$A5=1,2*J2*J3,IF(Input!$A5=2,J2*J3+J2*J4+J3*J4,3.14*J2*J4+3.14*J2^2/4))</f>
        <v>15.301000000000002</v>
      </c>
      <c r="K8">
        <f>IF(Input!$A5=1,2*K2*K3,IF(Input!$A5=2,K2*K3+K2*K4+K3*K4,3.14*K2*K4+3.14*K2^2/4))</f>
        <v>15.301000000000002</v>
      </c>
      <c r="L8">
        <f>IF(Input!$A5=1,2*L2*L3,IF(Input!$A5=2,L2*L3+L2*L4+L3*L4,3.14*L2*L4+3.14*L2^2/4))</f>
        <v>15.301000000000002</v>
      </c>
      <c r="M8">
        <f>IF(Input!$A5=1,2*M2*M3,IF(Input!$A5=2,M2*M3+M2*M4+M3*M4,3.14*M2*M4+3.14*M2^2/4))</f>
        <v>15.301000000000002</v>
      </c>
      <c r="N8">
        <f>IF(Input!$A5=1,2*N2*N3,IF(Input!$A5=2,N2*N3+N2*N4+N3*N4,3.14*N2*N4+3.14*N2^2/4))</f>
        <v>15.301000000000002</v>
      </c>
      <c r="O8">
        <f>IF(Input!$A5=1,2*O2*O3,IF(Input!$A5=2,O2*O3+O2*O4+O3*O4,3.14*O2*O4+3.14*O2^2/4))</f>
        <v>15.301000000000002</v>
      </c>
    </row>
    <row r="9" spans="1:15" x14ac:dyDescent="0.25">
      <c r="A9" s="3" t="s">
        <v>51</v>
      </c>
      <c r="B9" s="3" t="s">
        <v>101</v>
      </c>
      <c r="D9">
        <f>IF(Input!$A5=1,3,IF(Input!$A5=2,5,7))</f>
        <v>5</v>
      </c>
      <c r="E9">
        <f>IF(Input!$A5=1,3,IF(Input!$A5=2,5,7))</f>
        <v>5</v>
      </c>
      <c r="F9">
        <f>IF(Input!$A5=1,3,IF(Input!$A5=2,5,7))</f>
        <v>5</v>
      </c>
      <c r="G9">
        <f>IF(Input!$A5=1,3,IF(Input!$A5=2,5,7))</f>
        <v>5</v>
      </c>
      <c r="H9">
        <f>IF(Input!$A5=1,3,IF(Input!$A5=2,5,7))</f>
        <v>5</v>
      </c>
      <c r="I9">
        <f>IF(Input!$A5=1,3,IF(Input!$A5=2,5,7))</f>
        <v>5</v>
      </c>
      <c r="J9">
        <f>IF(Input!$A5=1,3,IF(Input!$A5=2,5,7))</f>
        <v>5</v>
      </c>
      <c r="K9">
        <f>IF(Input!$A5=1,3,IF(Input!$A5=2,5,7))</f>
        <v>5</v>
      </c>
      <c r="L9">
        <f>IF(Input!$A5=1,3,IF(Input!$A5=2,5,7))</f>
        <v>5</v>
      </c>
      <c r="M9">
        <f>IF(Input!$A5=1,3,IF(Input!$A5=2,5,7))</f>
        <v>5</v>
      </c>
      <c r="N9">
        <f>IF(Input!$A5=1,3,IF(Input!$A5=2,5,7))</f>
        <v>5</v>
      </c>
      <c r="O9">
        <f>IF(Input!$A5=1,3,IF(Input!$A5=2,5,7))</f>
        <v>5</v>
      </c>
    </row>
    <row r="10" spans="1:15" x14ac:dyDescent="0.25">
      <c r="A10" s="3" t="s">
        <v>52</v>
      </c>
      <c r="D10">
        <f>IF(Input!$A5=1,(1.15*D2*D3*D5),IF(Input!$A5=2,(1.2*(D2*D3+2*D4*(D2+D3))*D5),(1.2*(3.1415*D3^2/4+3.1415*D3*D4)*D5)))</f>
        <v>2.8863599999999998</v>
      </c>
      <c r="E10">
        <f>IF(Input!$A5=1,(1.15*E2*E3*E5),IF(Input!$A5=2,(1.2*(E2*E3+2*E4*(E2+E3))*E5),(1.2*(3.1415*E3^2/4+3.1415*E3*E4)*E5)))</f>
        <v>2.8863599999999998</v>
      </c>
      <c r="F10">
        <f>IF(Input!$A5=1,(1.15*F2*F3*F5),IF(Input!$A5=2,(1.2*(F2*F3+2*F4*(F2+F3))*F5),(1.2*(3.1415*F3^2/4+3.1415*F3*F4)*F5)))</f>
        <v>2.8863599999999998</v>
      </c>
      <c r="G10">
        <f>IF(Input!$A5=1,(1.15*G2*G3*G5),IF(Input!$A5=2,(1.2*(G2*G3+2*G4*(G2+G3))*G5),(1.2*(3.1415*G3^2/4+3.1415*G3*G4)*G5)))</f>
        <v>2.8863599999999998</v>
      </c>
      <c r="H10">
        <f>IF(Input!$A5=1,(1.15*H2*H3*H5),IF(Input!$A5=2,(1.2*(H2*H3+2*H4*(H2+H3))*H5),(1.2*(3.1415*H3^2/4+3.1415*H3*H4)*H5)))</f>
        <v>2.8863599999999998</v>
      </c>
      <c r="I10">
        <f>IF(Input!$A5=1,(1.15*I2*I3*I5),IF(Input!$A5=2,(1.2*(I2*I3+2*I4*(I2+I3))*I5),(1.2*(3.1415*I3^2/4+3.1415*I3*I4)*I5)))</f>
        <v>2.8863599999999998</v>
      </c>
      <c r="J10">
        <f>IF(Input!$A5=1,(1.15*J2*J3*J5),IF(Input!$A5=2,(1.2*(J2*J3+2*J4*(J2+J3))*J5),(1.2*(3.1415*J3^2/4+3.1415*J3*J4)*J5)))</f>
        <v>2.8863599999999998</v>
      </c>
      <c r="K10">
        <f>IF(Input!$A5=1,(1.15*K2*K3*K5),IF(Input!$A5=2,(1.2*(K2*K3+2*K4*(K2+K3))*K5),(1.2*(3.1415*K3^2/4+3.1415*K3*K4)*K5)))</f>
        <v>2.8863599999999998</v>
      </c>
      <c r="L10">
        <f>IF(Input!$A5=1,(1.15*L2*L3*L5),IF(Input!$A5=2,(1.2*(L2*L3+2*L4*(L2+L3))*L5),(1.2*(3.1415*L3^2/4+3.1415*L3*L4)*L5)))</f>
        <v>2.8863599999999998</v>
      </c>
      <c r="M10">
        <f>IF(Input!$A5=1,(1.15*M2*M3*M5),IF(Input!$A5=2,(1.2*(M2*M3+2*M4*(M2+M3))*M5),(1.2*(3.1415*M3^2/4+3.1415*M3*M4)*M5)))</f>
        <v>2.8863599999999998</v>
      </c>
      <c r="N10">
        <f>IF(Input!$A5=1,(1.15*N2*N3*N5),IF(Input!$A5=2,(1.2*(N2*N3+2*N4*(N2+N3))*N5),(1.2*(3.1415*N3^2/4+3.1415*N3*N4)*N5)))</f>
        <v>2.8863599999999998</v>
      </c>
      <c r="O10">
        <f>IF(Input!$A5=1,(1.15*O2*O3*O5),IF(Input!$A5=2,(1.2*(O2*O3+2*O4*(O2+O3))*O5),(1.2*(3.1415*O3^2/4+3.1415*O3*O4)*O5)))</f>
        <v>2.8863599999999998</v>
      </c>
    </row>
    <row r="11" spans="1:15" x14ac:dyDescent="0.25">
      <c r="A11" s="3" t="s">
        <v>53</v>
      </c>
      <c r="B11" t="s">
        <v>54</v>
      </c>
      <c r="D11">
        <f>Input!$A31*D10</f>
        <v>6.4771650215999996E-2</v>
      </c>
      <c r="E11">
        <f>Input!$A31*E10</f>
        <v>6.4771650215999996E-2</v>
      </c>
      <c r="F11">
        <f>Input!$A31*F10</f>
        <v>6.4771650215999996E-2</v>
      </c>
      <c r="G11">
        <f>Input!$A31*G10</f>
        <v>6.4771650215999996E-2</v>
      </c>
      <c r="H11">
        <f>Input!$A31*H10</f>
        <v>6.4771650215999996E-2</v>
      </c>
      <c r="I11">
        <f>Input!$A31*I10</f>
        <v>6.4771650215999996E-2</v>
      </c>
      <c r="J11">
        <f>Input!$A31*J10</f>
        <v>6.4771650215999996E-2</v>
      </c>
      <c r="K11">
        <f>Input!$A31*K10</f>
        <v>6.4771650215999996E-2</v>
      </c>
      <c r="L11">
        <f>Input!$A31*L10</f>
        <v>6.4771650215999996E-2</v>
      </c>
      <c r="M11">
        <f>Input!$A31*M10</f>
        <v>6.4771650215999996E-2</v>
      </c>
      <c r="N11">
        <f>Input!$A31*N10</f>
        <v>6.4771650215999996E-2</v>
      </c>
      <c r="O11">
        <f>Input!$A31*O10</f>
        <v>6.4771650215999996E-2</v>
      </c>
    </row>
    <row r="12" spans="1:15" x14ac:dyDescent="0.25">
      <c r="A12" s="3" t="s">
        <v>8</v>
      </c>
      <c r="B12" t="s">
        <v>55</v>
      </c>
      <c r="D12">
        <f>D9*0.1</f>
        <v>0.5</v>
      </c>
      <c r="E12">
        <f t="shared" ref="E12:O12" si="0">E9*0.1</f>
        <v>0.5</v>
      </c>
      <c r="F12">
        <f t="shared" si="0"/>
        <v>0.5</v>
      </c>
      <c r="G12">
        <f t="shared" si="0"/>
        <v>0.5</v>
      </c>
      <c r="H12">
        <f t="shared" si="0"/>
        <v>0.5</v>
      </c>
      <c r="I12">
        <f t="shared" si="0"/>
        <v>0.5</v>
      </c>
      <c r="J12">
        <f t="shared" si="0"/>
        <v>0.5</v>
      </c>
      <c r="K12">
        <f t="shared" si="0"/>
        <v>0.5</v>
      </c>
      <c r="L12">
        <f>L9*0.1</f>
        <v>0.5</v>
      </c>
      <c r="M12">
        <f>M9*0.1</f>
        <v>0.5</v>
      </c>
      <c r="N12">
        <f>N9*0.1</f>
        <v>0.5</v>
      </c>
      <c r="O12">
        <f t="shared" si="0"/>
        <v>0.5</v>
      </c>
    </row>
    <row r="13" spans="1:15" x14ac:dyDescent="0.25">
      <c r="A13" s="3" t="s">
        <v>57</v>
      </c>
      <c r="B13" t="s">
        <v>56</v>
      </c>
      <c r="D13">
        <f>IF(Input!$A28=1,1.1*(D5*10)^2.1,IF(Input!$A28=2,(D5*10)^2,IF(Input!$A28=3,0.92*(D5*10)^2,IF(Input!$A28=4,2.4*(D5*10)^1.9,EXP(D5*10)-1))))</f>
        <v>1.7182818284590451</v>
      </c>
      <c r="E13">
        <f>IF(Input!$A28=1,1.1*(E5*10)^2.1,IF(Input!$A28=2,(E5*10)^2,IF(Input!$A28=3,0.92*(E5*10)^2,IF(Input!$A28=4,2.4*(E5*10)^1.9,EXP(E5*10)-1))))</f>
        <v>1.7182818284590451</v>
      </c>
      <c r="F13">
        <f>IF(Input!$A28=1,1.1*(F5*10)^2.1,IF(Input!$A28=2,(F5*10)^2,IF(Input!$A28=3,0.92*(F5*10)^2,IF(Input!$A28=4,2.4*(F5*10)^1.9,EXP(F5*10)-1))))</f>
        <v>1.7182818284590451</v>
      </c>
      <c r="G13">
        <f>IF(Input!$A28=1,1.1*(G5*10)^2.1,IF(Input!$A28=2,(G5*10)^2,IF(Input!$A28=3,0.92*(G5*10)^2,IF(Input!$A28=4,2.4*(G5*10)^1.9,EXP(G5*10)-1))))</f>
        <v>1.7182818284590451</v>
      </c>
      <c r="H13">
        <f>IF(Input!$A28=1,1.1*(H5*10)^2.1,IF(Input!$A28=2,(H5*10)^2,IF(Input!$A28=3,0.92*(H5*10)^2,IF(Input!$A28=4,2.4*(H5*10)^1.9,EXP(H5*10)-1))))</f>
        <v>1.7182818284590451</v>
      </c>
      <c r="I13">
        <f>IF(Input!$A28=1,1.1*(I5*10)^2.1,IF(Input!$A28=2,(I5*10)^2,IF(Input!$A28=3,0.92*(I5*10)^2,IF(Input!$A28=4,2.4*(I5*10)^1.9,EXP(I5*10)-1))))</f>
        <v>1.7182818284590451</v>
      </c>
      <c r="J13">
        <f>IF(Input!$A28=1,1.1*(J5*10)^2.1,IF(Input!$A28=2,(J5*10)^2,IF(Input!$A28=3,0.92*(J5*10)^2,IF(Input!$A28=4,2.4*(J5*10)^1.9,EXP(J5*10)-1))))</f>
        <v>1.7182818284590451</v>
      </c>
      <c r="K13">
        <f>IF(Input!$A28=1,1.1*(K5*10)^2.1,IF(Input!$A28=2,(K5*10)^2,IF(Input!$A28=3,0.92*(K5*10)^2,IF(Input!$A28=4,2.4*(K5*10)^1.9,EXP(K5*10)-1))))</f>
        <v>1.7182818284590451</v>
      </c>
      <c r="L13">
        <f>IF(Input!$A28=1,1.1*(L5*10)^2.1,IF(Input!$A28=2,(L5*10)^2,IF(Input!$A28=3,0.92*(L5*10)^2,IF(Input!$A28=4,2.4*(L5*10)^1.9,EXP(L5*10)-1))))</f>
        <v>1.7182818284590451</v>
      </c>
      <c r="M13">
        <f>IF(Input!$A28=1,1.1*(M5*10)^2.1,IF(Input!$A28=2,(M5*10)^2,IF(Input!$A28=3,0.92*(M5*10)^2,IF(Input!$A28=4,2.4*(M5*10)^1.9,EXP(M5*10)-1))))</f>
        <v>1.7182818284590451</v>
      </c>
      <c r="N13">
        <f>IF(Input!$A28=1,1.1*(N5*10)^2.1,IF(Input!$A28=2,(N5*10)^2,IF(Input!$A28=3,0.92*(N5*10)^2,IF(Input!$A28=4,2.4*(N5*10)^1.9,EXP(N5*10)-1))))</f>
        <v>1.7182818284590451</v>
      </c>
      <c r="O13">
        <f>IF(Input!$A28=1,1.1*(O5*10)^2.1,IF(Input!$A28=2,(O5*10)^2,IF(Input!$A28=3,0.92*(O5*10)^2,IF(Input!$A28=4,2.4*(O5*10)^1.9,EXP(O5*10)-1))))</f>
        <v>1.7182818284590451</v>
      </c>
    </row>
    <row r="14" spans="1:15" x14ac:dyDescent="0.25">
      <c r="A14" s="3" t="s">
        <v>59</v>
      </c>
      <c r="B14" t="s">
        <v>58</v>
      </c>
      <c r="D14">
        <f t="shared" ref="D14:O14" si="1">D9+D12+D13</f>
        <v>7.2182818284590446</v>
      </c>
      <c r="E14">
        <f t="shared" si="1"/>
        <v>7.2182818284590446</v>
      </c>
      <c r="F14">
        <f t="shared" si="1"/>
        <v>7.2182818284590446</v>
      </c>
      <c r="G14">
        <f t="shared" si="1"/>
        <v>7.2182818284590446</v>
      </c>
      <c r="H14">
        <f t="shared" si="1"/>
        <v>7.2182818284590446</v>
      </c>
      <c r="I14">
        <f t="shared" si="1"/>
        <v>7.2182818284590446</v>
      </c>
      <c r="J14">
        <f t="shared" si="1"/>
        <v>7.2182818284590446</v>
      </c>
      <c r="K14">
        <f t="shared" si="1"/>
        <v>7.2182818284590446</v>
      </c>
      <c r="L14">
        <f t="shared" si="1"/>
        <v>7.2182818284590446</v>
      </c>
      <c r="M14">
        <f t="shared" si="1"/>
        <v>7.2182818284590446</v>
      </c>
      <c r="N14">
        <f t="shared" si="1"/>
        <v>7.2182818284590446</v>
      </c>
      <c r="O14">
        <f t="shared" si="1"/>
        <v>7.2182818284590446</v>
      </c>
    </row>
    <row r="15" spans="1:15" x14ac:dyDescent="0.25">
      <c r="A15" s="3" t="s">
        <v>60</v>
      </c>
      <c r="B15" t="s">
        <v>61</v>
      </c>
      <c r="D15">
        <f>5+0.25*(100*D7)^0.5+0.2*D7</f>
        <v>12.707553511975902</v>
      </c>
      <c r="E15">
        <f t="shared" ref="E15:O15" si="2">5+0.25*(100*E7)^0.5+0.2*E7</f>
        <v>12.707553511975902</v>
      </c>
      <c r="F15">
        <f t="shared" si="2"/>
        <v>12.707553511975902</v>
      </c>
      <c r="G15">
        <f t="shared" si="2"/>
        <v>12.707553511975902</v>
      </c>
      <c r="H15">
        <f t="shared" si="2"/>
        <v>12.707553511975902</v>
      </c>
      <c r="I15">
        <f t="shared" si="2"/>
        <v>12.707553511975902</v>
      </c>
      <c r="J15">
        <f t="shared" si="2"/>
        <v>12.707553511975902</v>
      </c>
      <c r="K15">
        <f t="shared" si="2"/>
        <v>12.707553511975902</v>
      </c>
      <c r="L15">
        <f>5+0.25*(100*L7)^0.5+0.2*L7</f>
        <v>12.707553511975902</v>
      </c>
      <c r="M15">
        <f>5+0.25*(100*M7)^0.5+0.2*M7</f>
        <v>12.707553511975902</v>
      </c>
      <c r="N15">
        <f>5+0.25*(100*N7)^0.5+0.2*N7</f>
        <v>12.707553511975902</v>
      </c>
      <c r="O15">
        <f t="shared" si="2"/>
        <v>12.707553511975902</v>
      </c>
    </row>
    <row r="16" spans="1:15" x14ac:dyDescent="0.25">
      <c r="A16" s="3" t="s">
        <v>62</v>
      </c>
      <c r="B16" t="s">
        <v>63</v>
      </c>
      <c r="D16">
        <f>0.025*(D15+Input!$C9)</f>
        <v>4.6301888377993974</v>
      </c>
      <c r="E16">
        <f>0.025*(E15+Input!$C9)</f>
        <v>4.6301888377993974</v>
      </c>
      <c r="F16">
        <f>0.025*(F15+Input!$C9)</f>
        <v>4.6301888377993974</v>
      </c>
      <c r="G16">
        <f>0.025*(G15+Input!$C9)</f>
        <v>4.6301888377993974</v>
      </c>
      <c r="H16">
        <f>0.025*(H15+Input!$C9)</f>
        <v>4.6301888377993974</v>
      </c>
      <c r="I16">
        <f>0.025*(I15+Input!$C9)</f>
        <v>4.6301888377993974</v>
      </c>
      <c r="J16">
        <f>0.025*(J15+Input!$C9)</f>
        <v>4.6301888377993974</v>
      </c>
      <c r="K16">
        <f>0.025*(K15+Input!$C9)</f>
        <v>4.6301888377993974</v>
      </c>
      <c r="L16">
        <f>0.025*(L15+Input!$C9)</f>
        <v>4.6301888377993974</v>
      </c>
      <c r="M16">
        <f>0.025*(M15+Input!$C9)</f>
        <v>4.6301888377993974</v>
      </c>
      <c r="N16">
        <f>0.025*(N15+Input!$C9)</f>
        <v>4.6301888377993974</v>
      </c>
      <c r="O16">
        <f>0.025*(O15+Input!$C9)</f>
        <v>4.6301888377993974</v>
      </c>
    </row>
    <row r="17" spans="1:15" x14ac:dyDescent="0.25">
      <c r="A17" s="3" t="s">
        <v>12</v>
      </c>
      <c r="B17" t="s">
        <v>66</v>
      </c>
      <c r="D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E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F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G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H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I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J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K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L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M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N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O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</row>
    <row r="18" spans="1:15" x14ac:dyDescent="0.25">
      <c r="A18" s="3" t="s">
        <v>67</v>
      </c>
      <c r="B18" t="s">
        <v>68</v>
      </c>
      <c r="D18">
        <f>IF(Input!$A21=1,(1.5*0.035*10*D8^0.5),IF(Input!$A21=2,(1.5*0.06*10*D8^0.5),1.5*0.1*10*D8^0.5))</f>
        <v>2.0536158659788351</v>
      </c>
      <c r="E18">
        <f>IF(Input!$A21=1,(1.5*0.035*10*E8^0.5),IF(Input!$A21=2,(1.5*0.06*10*E8^0.5),1.5*0.1*10*E8^0.5))</f>
        <v>2.0536158659788351</v>
      </c>
      <c r="F18">
        <f>IF(Input!$A21=1,(1.5*0.035*10*F8^0.5),IF(Input!$A21=2,(1.5*0.06*10*F8^0.5),1.5*0.1*10*F8^0.5))</f>
        <v>2.0536158659788351</v>
      </c>
      <c r="G18">
        <f>IF(Input!$A21=1,(1.5*0.035*10*G8^0.5),IF(Input!$A21=2,(1.5*0.06*10*G8^0.5),1.5*0.1*10*G8^0.5))</f>
        <v>2.0536158659788351</v>
      </c>
      <c r="H18">
        <f>IF(Input!$A21=1,(1.5*0.035*10*H8^0.5),IF(Input!$A21=2,(1.5*0.06*10*H8^0.5),1.5*0.1*10*H8^0.5))</f>
        <v>2.0536158659788351</v>
      </c>
      <c r="I18">
        <f>IF(Input!$A21=1,(1.5*0.035*10*I8^0.5),IF(Input!$A21=2,(1.5*0.06*10*I8^0.5),1.5*0.1*10*I8^0.5))</f>
        <v>2.0536158659788351</v>
      </c>
      <c r="J18">
        <f>IF(Input!$A21=1,(1.5*0.035*10*J8^0.5),IF(Input!$A21=2,(1.5*0.06*10*J8^0.5),1.5*0.1*10*J8^0.5))</f>
        <v>2.0536158659788351</v>
      </c>
      <c r="K18">
        <f>IF(Input!$A21=1,(1.5*0.035*10*K8^0.5),IF(Input!$A21=2,(1.5*0.06*10*K8^0.5),1.5*0.1*10*K8^0.5))</f>
        <v>2.0536158659788351</v>
      </c>
      <c r="L18">
        <f>IF(Input!$A21=1,(1.5*0.035*10*L8^0.5),IF(Input!$A21=2,(1.5*0.06*10*L8^0.5),1.5*0.1*10*L8^0.5))</f>
        <v>2.0536158659788351</v>
      </c>
      <c r="M18">
        <f>IF(Input!$A21=1,(1.5*0.035*10*M8^0.5),IF(Input!$A21=2,(1.5*0.06*10*M8^0.5),1.5*0.1*10*M8^0.5))</f>
        <v>2.0536158659788351</v>
      </c>
      <c r="N18">
        <f>IF(Input!$A21=1,(1.5*0.035*10*N8^0.5),IF(Input!$A21=2,(1.5*0.06*10*N8^0.5),1.5*0.1*10*N8^0.5))</f>
        <v>2.0536158659788351</v>
      </c>
      <c r="O18">
        <f>IF(Input!$A21=1,(1.5*0.035*10*O8^0.5),IF(Input!$A21=2,(1.5*0.06*10*O8^0.5),1.5*0.1*10*O8^0.5))</f>
        <v>2.0536158659788351</v>
      </c>
    </row>
    <row r="19" spans="1:15" ht="13.5" customHeight="1" x14ac:dyDescent="0.25">
      <c r="A19" s="3" t="s">
        <v>69</v>
      </c>
      <c r="B19" t="s">
        <v>70</v>
      </c>
      <c r="D19">
        <f>(D15+Input!$C9+Input!$E9+D17+D18+D16)*Main!$D18</f>
        <v>14328.697537551394</v>
      </c>
      <c r="E19">
        <f>(E15+Input!$C9+Input!$E9+E17+E18+E16)*Main!$D18</f>
        <v>14328.697537551394</v>
      </c>
      <c r="F19">
        <f>(F15+Input!$C9+Input!$E9+F17+F18+F16)*Main!$D18</f>
        <v>14328.697537551394</v>
      </c>
      <c r="G19">
        <f>(G15+Input!$C9+Input!$E9+G17+G18+G16)*Main!$D18</f>
        <v>14328.697537551394</v>
      </c>
      <c r="H19">
        <f>(H15+Input!$C9+Input!$E9+H17+H18+H16)*Main!$D18</f>
        <v>14328.697537551394</v>
      </c>
      <c r="I19">
        <f>(I15+Input!$C9+Input!$E9+I17+I18+I16)*Main!$D18</f>
        <v>14328.697537551394</v>
      </c>
      <c r="J19">
        <f>(J15+Input!$C9+Input!$E9+J17+J18+J16)*Main!$D18</f>
        <v>14328.697537551394</v>
      </c>
      <c r="K19">
        <f>(K15+Input!$C9+Input!$E9+K17+K18+K16)*Main!$D18</f>
        <v>14328.697537551394</v>
      </c>
      <c r="L19">
        <f>(L15+Input!$C9+Input!$E9+L17+L18+L16)*Main!$D18</f>
        <v>14328.697537551394</v>
      </c>
      <c r="M19">
        <f>(M15+Input!$C9+Input!$E9+M17+M18+M16)*Main!$D18</f>
        <v>14328.697537551394</v>
      </c>
      <c r="N19">
        <f>(N15+Input!$C9+Input!$E9+N17+N18+N16)*Main!$D18</f>
        <v>14328.697537551394</v>
      </c>
      <c r="O19">
        <f>(O15+Input!$C9+Input!$E9+O17+O18+O16)*Main!$D18</f>
        <v>14328.697537551394</v>
      </c>
    </row>
    <row r="20" spans="1:15" x14ac:dyDescent="0.25">
      <c r="A20" s="3" t="s">
        <v>71</v>
      </c>
      <c r="D20">
        <f>(Main!$D18+45)*0.93</f>
        <v>74.400000000000006</v>
      </c>
      <c r="E20">
        <f>(Main!$D18+45)*0.93</f>
        <v>74.400000000000006</v>
      </c>
      <c r="F20">
        <f>(Main!$D18+45)*0.93</f>
        <v>74.400000000000006</v>
      </c>
      <c r="G20">
        <f>(Main!$D18+45)*0.93</f>
        <v>74.400000000000006</v>
      </c>
      <c r="H20">
        <f>(Main!$D18+45)*0.93</f>
        <v>74.400000000000006</v>
      </c>
      <c r="I20">
        <f>(Main!$D18+45)*0.93</f>
        <v>74.400000000000006</v>
      </c>
      <c r="J20">
        <f>(Main!$D18+45)*0.93</f>
        <v>74.400000000000006</v>
      </c>
      <c r="K20">
        <f>(Main!$D18+45)*0.93</f>
        <v>74.400000000000006</v>
      </c>
      <c r="L20">
        <f>(Main!$D18+45)*0.93</f>
        <v>74.400000000000006</v>
      </c>
      <c r="M20">
        <f>(Main!$D18+45)*0.93</f>
        <v>74.400000000000006</v>
      </c>
      <c r="N20">
        <f>(Main!$D18+45)*0.93</f>
        <v>74.400000000000006</v>
      </c>
      <c r="O20">
        <f>(Main!$D18+45)*0.93</f>
        <v>74.400000000000006</v>
      </c>
    </row>
    <row r="21" spans="1:15" x14ac:dyDescent="0.25">
      <c r="A21" s="3" t="s">
        <v>72</v>
      </c>
      <c r="D21">
        <f>(Main!$D18+45)*3.6</f>
        <v>288</v>
      </c>
      <c r="E21">
        <f>(Main!$D18+45)*3.6</f>
        <v>288</v>
      </c>
      <c r="F21">
        <f>(Main!$D18+45)*3.6</f>
        <v>288</v>
      </c>
      <c r="G21">
        <f>(Main!$D18+45)*3.6</f>
        <v>288</v>
      </c>
      <c r="H21">
        <f>(Main!$D18+45)*3.6</f>
        <v>288</v>
      </c>
      <c r="I21">
        <f>(Main!$D18+45)*3.6</f>
        <v>288</v>
      </c>
      <c r="J21">
        <f>(Main!$D18+45)*3.6</f>
        <v>288</v>
      </c>
      <c r="K21">
        <f>(Main!$D18+45)*3.6</f>
        <v>288</v>
      </c>
      <c r="L21">
        <f>(Main!$D18+45)*3.6</f>
        <v>288</v>
      </c>
      <c r="M21">
        <f>(Main!$D18+45)*3.6</f>
        <v>288</v>
      </c>
      <c r="N21">
        <f>(Main!$D18+45)*3.6</f>
        <v>288</v>
      </c>
      <c r="O21">
        <f>(Main!$D18+45)*3.6</f>
        <v>288</v>
      </c>
    </row>
    <row r="22" spans="1:15" x14ac:dyDescent="0.25">
      <c r="A22" s="3" t="s">
        <v>73</v>
      </c>
      <c r="D22">
        <f t="shared" ref="D22:O22" si="3">(D6/D19*(D20*8500-D21*300)/(8200*1.71)*D14/(3600*0.85))^0.6035</f>
        <v>1.18292478919055E-2</v>
      </c>
      <c r="E22">
        <f t="shared" si="3"/>
        <v>2.0564299868957137E-2</v>
      </c>
      <c r="F22">
        <f t="shared" si="3"/>
        <v>3.1245359832078087E-2</v>
      </c>
      <c r="G22">
        <f t="shared" si="3"/>
        <v>4.7474142920361326E-2</v>
      </c>
      <c r="H22">
        <f t="shared" si="3"/>
        <v>0.1253965333908687</v>
      </c>
      <c r="I22">
        <f t="shared" si="3"/>
        <v>0.19052726484539353</v>
      </c>
      <c r="J22">
        <f t="shared" si="3"/>
        <v>0.50325202433111049</v>
      </c>
      <c r="K22">
        <f t="shared" si="3"/>
        <v>0.7646402107850937</v>
      </c>
      <c r="L22">
        <f t="shared" si="3"/>
        <v>2.0196937917248907</v>
      </c>
      <c r="M22">
        <f t="shared" si="3"/>
        <v>3.0687190750568751</v>
      </c>
      <c r="N22">
        <f t="shared" si="3"/>
        <v>12.315644179828039</v>
      </c>
      <c r="O22">
        <f t="shared" si="3"/>
        <v>3.0687190750568751</v>
      </c>
    </row>
    <row r="23" spans="1:15" x14ac:dyDescent="0.25">
      <c r="A23" s="3" t="s">
        <v>74</v>
      </c>
      <c r="B23" t="s">
        <v>75</v>
      </c>
      <c r="D23">
        <f t="shared" ref="D23:O23" si="4">IF(D22&lt;1,1,D22)</f>
        <v>1</v>
      </c>
      <c r="E23">
        <f t="shared" si="4"/>
        <v>1</v>
      </c>
      <c r="F23">
        <f t="shared" si="4"/>
        <v>1</v>
      </c>
      <c r="G23">
        <f t="shared" si="4"/>
        <v>1</v>
      </c>
      <c r="H23">
        <f t="shared" si="4"/>
        <v>1</v>
      </c>
      <c r="I23">
        <f t="shared" si="4"/>
        <v>1</v>
      </c>
      <c r="J23">
        <f t="shared" si="4"/>
        <v>1</v>
      </c>
      <c r="K23">
        <f t="shared" si="4"/>
        <v>1</v>
      </c>
      <c r="L23">
        <f t="shared" si="4"/>
        <v>2.0196937917248907</v>
      </c>
      <c r="M23">
        <f t="shared" si="4"/>
        <v>3.0687190750568751</v>
      </c>
      <c r="N23">
        <f t="shared" si="4"/>
        <v>12.315644179828039</v>
      </c>
      <c r="O23">
        <f t="shared" si="4"/>
        <v>3.0687190750568751</v>
      </c>
    </row>
    <row r="24" spans="1:15" x14ac:dyDescent="0.25">
      <c r="A24" s="3" t="s">
        <v>76</v>
      </c>
      <c r="D24">
        <f>IF(Input!$A9=1,D4+10,D4+15)</f>
        <v>16.600000000000001</v>
      </c>
      <c r="E24">
        <f>IF(Input!$A9=1,E4+10,E4+15)</f>
        <v>16.600000000000001</v>
      </c>
      <c r="F24">
        <f>IF(Input!$A9=1,F4+10,F4+15)</f>
        <v>16.600000000000001</v>
      </c>
      <c r="G24">
        <f>IF(Input!$A9=1,G4+10,G4+15)</f>
        <v>16.600000000000001</v>
      </c>
      <c r="H24">
        <f>IF(Input!$A9=1,H4+10,H4+15)</f>
        <v>16.600000000000001</v>
      </c>
      <c r="I24">
        <f>IF(Input!$A9=1,I4+10,I4+15)</f>
        <v>16.600000000000001</v>
      </c>
      <c r="J24">
        <f>IF(Input!$A9=1,J4+10,J4+15)</f>
        <v>16.600000000000001</v>
      </c>
      <c r="K24">
        <f>IF(Input!$A9=1,K4+10,K4+15)</f>
        <v>16.600000000000001</v>
      </c>
      <c r="L24">
        <f>IF(Input!$A9=1,L4+10,L4+15)</f>
        <v>16.600000000000001</v>
      </c>
      <c r="M24">
        <f>IF(Input!$A9=1,M4+10,M4+15)</f>
        <v>16.600000000000001</v>
      </c>
      <c r="N24">
        <f>IF(Input!$A9=1,N4+10,N4+15)</f>
        <v>16.600000000000001</v>
      </c>
      <c r="O24">
        <f>IF(Input!$A9=1,O4+10,O4+15)</f>
        <v>16.600000000000001</v>
      </c>
    </row>
    <row r="25" spans="1:15" x14ac:dyDescent="0.25">
      <c r="A25" s="3" t="s">
        <v>77</v>
      </c>
      <c r="B25" s="3"/>
      <c r="D25" s="3">
        <f t="shared" ref="D25:O25" si="5">(D2+5)*(D3+5)*D23+5*(D2+D3+10)*D23^0.5+25</f>
        <v>161.249</v>
      </c>
      <c r="E25" s="3">
        <f t="shared" si="5"/>
        <v>161.249</v>
      </c>
      <c r="F25" s="3">
        <f t="shared" si="5"/>
        <v>161.249</v>
      </c>
      <c r="G25" s="3">
        <f t="shared" si="5"/>
        <v>161.249</v>
      </c>
      <c r="H25" s="3">
        <f t="shared" si="5"/>
        <v>161.249</v>
      </c>
      <c r="I25" s="3">
        <f t="shared" si="5"/>
        <v>161.249</v>
      </c>
      <c r="J25" s="3">
        <f t="shared" si="5"/>
        <v>161.249</v>
      </c>
      <c r="K25" s="3">
        <f t="shared" si="5"/>
        <v>161.249</v>
      </c>
      <c r="L25" s="3">
        <f t="shared" si="5"/>
        <v>253.88461746665052</v>
      </c>
      <c r="M25" s="3">
        <f t="shared" si="5"/>
        <v>341.24435665501494</v>
      </c>
      <c r="N25" s="3">
        <f t="shared" si="5"/>
        <v>1021.828525570613</v>
      </c>
      <c r="O25" s="3">
        <f t="shared" si="5"/>
        <v>341.24435665501494</v>
      </c>
    </row>
    <row r="26" spans="1:15" x14ac:dyDescent="0.25">
      <c r="A26" s="3" t="s">
        <v>78</v>
      </c>
      <c r="B26" t="s">
        <v>79</v>
      </c>
      <c r="D26">
        <f t="shared" ref="D26:O26" si="6">1000+45*D25*D24^0.4</f>
        <v>23323.011294463391</v>
      </c>
      <c r="E26">
        <f t="shared" si="6"/>
        <v>23323.011294463391</v>
      </c>
      <c r="F26">
        <f t="shared" si="6"/>
        <v>23323.011294463391</v>
      </c>
      <c r="G26">
        <f t="shared" si="6"/>
        <v>23323.011294463391</v>
      </c>
      <c r="H26">
        <f t="shared" si="6"/>
        <v>23323.011294463391</v>
      </c>
      <c r="I26">
        <f t="shared" si="6"/>
        <v>23323.011294463391</v>
      </c>
      <c r="J26">
        <f t="shared" si="6"/>
        <v>23323.011294463391</v>
      </c>
      <c r="K26">
        <f t="shared" si="6"/>
        <v>23323.011294463391</v>
      </c>
      <c r="L26">
        <f t="shared" si="6"/>
        <v>36147.313677595252</v>
      </c>
      <c r="M26">
        <f t="shared" si="6"/>
        <v>48241.233296217601</v>
      </c>
      <c r="N26">
        <f t="shared" si="6"/>
        <v>142460.03830918434</v>
      </c>
      <c r="O26">
        <f t="shared" si="6"/>
        <v>48241.233296217601</v>
      </c>
    </row>
    <row r="27" spans="1:15" x14ac:dyDescent="0.25">
      <c r="A27" s="3" t="s">
        <v>80</v>
      </c>
      <c r="B27" t="s">
        <v>81</v>
      </c>
      <c r="D27">
        <f>D19*((1.71*D23^0.657)-0.71)</f>
        <v>14328.697537551394</v>
      </c>
      <c r="E27">
        <f t="shared" ref="E27:O27" si="7">E19*((1.71*E23^0.657)-0.71)</f>
        <v>14328.697537551394</v>
      </c>
      <c r="F27">
        <f t="shared" si="7"/>
        <v>14328.697537551394</v>
      </c>
      <c r="G27">
        <f t="shared" si="7"/>
        <v>14328.697537551394</v>
      </c>
      <c r="H27">
        <f t="shared" si="7"/>
        <v>14328.697537551394</v>
      </c>
      <c r="I27">
        <f t="shared" si="7"/>
        <v>14328.697537551394</v>
      </c>
      <c r="J27">
        <f t="shared" si="7"/>
        <v>14328.697537551394</v>
      </c>
      <c r="K27">
        <f t="shared" si="7"/>
        <v>14328.697537551394</v>
      </c>
      <c r="L27">
        <f>L19*((1.71*L23^0.657)-0.71)</f>
        <v>28711.026290704973</v>
      </c>
      <c r="M27">
        <f>M19*((1.71*M23^0.657)-0.71)</f>
        <v>41010.558664212884</v>
      </c>
      <c r="N27">
        <f>N19*((1.71*N23^0.657)-0.71)</f>
        <v>117362.73347171579</v>
      </c>
      <c r="O27">
        <f t="shared" si="7"/>
        <v>41010.558664212884</v>
      </c>
    </row>
    <row r="28" spans="1:15" x14ac:dyDescent="0.25">
      <c r="A28" s="3" t="s">
        <v>82</v>
      </c>
      <c r="B28" t="s">
        <v>83</v>
      </c>
      <c r="D28">
        <f t="shared" ref="D28:O28" si="8">D26+D27</f>
        <v>37651.708832014789</v>
      </c>
      <c r="E28">
        <f t="shared" si="8"/>
        <v>37651.708832014789</v>
      </c>
      <c r="F28">
        <f t="shared" si="8"/>
        <v>37651.708832014789</v>
      </c>
      <c r="G28">
        <f t="shared" si="8"/>
        <v>37651.708832014789</v>
      </c>
      <c r="H28">
        <f t="shared" si="8"/>
        <v>37651.708832014789</v>
      </c>
      <c r="I28">
        <f t="shared" si="8"/>
        <v>37651.708832014789</v>
      </c>
      <c r="J28">
        <f t="shared" si="8"/>
        <v>37651.708832014789</v>
      </c>
      <c r="K28">
        <f t="shared" si="8"/>
        <v>37651.708832014789</v>
      </c>
      <c r="L28">
        <f t="shared" si="8"/>
        <v>64858.339968300221</v>
      </c>
      <c r="M28">
        <f t="shared" si="8"/>
        <v>89251.791960430477</v>
      </c>
      <c r="N28">
        <f t="shared" si="8"/>
        <v>259822.77178090013</v>
      </c>
      <c r="O28">
        <f t="shared" si="8"/>
        <v>89251.791960430477</v>
      </c>
    </row>
    <row r="29" spans="1:15" x14ac:dyDescent="0.25">
      <c r="A29" s="3" t="s">
        <v>84</v>
      </c>
      <c r="B29" t="s">
        <v>85</v>
      </c>
      <c r="D29">
        <f t="shared" ref="D29:O29" si="9">D28/D6</f>
        <v>376.51708832014788</v>
      </c>
      <c r="E29">
        <f t="shared" si="9"/>
        <v>150.60683532805916</v>
      </c>
      <c r="F29">
        <f t="shared" si="9"/>
        <v>75.303417664029581</v>
      </c>
      <c r="G29">
        <f t="shared" si="9"/>
        <v>37.651708832014791</v>
      </c>
      <c r="H29">
        <f t="shared" si="9"/>
        <v>7.5303417664029579</v>
      </c>
      <c r="I29">
        <f t="shared" si="9"/>
        <v>3.765170883201479</v>
      </c>
      <c r="J29">
        <f t="shared" si="9"/>
        <v>0.75303417664029582</v>
      </c>
      <c r="K29">
        <f t="shared" si="9"/>
        <v>0.37651708832014791</v>
      </c>
      <c r="L29">
        <f t="shared" si="9"/>
        <v>0.12971667993660044</v>
      </c>
      <c r="M29">
        <f t="shared" si="9"/>
        <v>8.9251791960430482E-2</v>
      </c>
      <c r="N29">
        <f t="shared" si="9"/>
        <v>2.5982277178090013E-2</v>
      </c>
      <c r="O29">
        <f t="shared" si="9"/>
        <v>8.9251791960430482E-2</v>
      </c>
    </row>
    <row r="30" spans="1:15" x14ac:dyDescent="0.25">
      <c r="A30" s="3" t="s">
        <v>86</v>
      </c>
      <c r="B30" t="s">
        <v>87</v>
      </c>
      <c r="D30">
        <f t="shared" ref="D30:O30" si="10">D7*6*D23</f>
        <v>39.294000000000004</v>
      </c>
      <c r="E30">
        <f t="shared" si="10"/>
        <v>39.294000000000004</v>
      </c>
      <c r="F30">
        <f t="shared" si="10"/>
        <v>39.294000000000004</v>
      </c>
      <c r="G30">
        <f t="shared" si="10"/>
        <v>39.294000000000004</v>
      </c>
      <c r="H30">
        <f t="shared" si="10"/>
        <v>39.294000000000004</v>
      </c>
      <c r="I30">
        <f t="shared" si="10"/>
        <v>39.294000000000004</v>
      </c>
      <c r="J30">
        <f t="shared" si="10"/>
        <v>39.294000000000004</v>
      </c>
      <c r="K30">
        <f t="shared" si="10"/>
        <v>39.294000000000004</v>
      </c>
      <c r="L30">
        <f t="shared" si="10"/>
        <v>79.361847852037869</v>
      </c>
      <c r="M30">
        <f t="shared" si="10"/>
        <v>120.58224733528486</v>
      </c>
      <c r="N30">
        <f t="shared" si="10"/>
        <v>483.93092240216305</v>
      </c>
      <c r="O30">
        <f t="shared" si="10"/>
        <v>120.58224733528486</v>
      </c>
    </row>
    <row r="31" spans="1:15" x14ac:dyDescent="0.25">
      <c r="A31" s="3" t="s">
        <v>88</v>
      </c>
      <c r="D31" s="3">
        <f t="shared" ref="D31:O31" si="11">IF(D30&lt;500,0.93,IF(D30&lt;800,1,IF(D30&lt;1100,1.1,IF(D30&lt;1600,1.2,IF(D30&lt;3200,1.36,IF(D30&lt;5000,1.88,IF(D30&lt;8500,2.46,3.6)))))))</f>
        <v>0.93</v>
      </c>
      <c r="E31" s="3">
        <f t="shared" si="11"/>
        <v>0.93</v>
      </c>
      <c r="F31" s="3">
        <f t="shared" si="11"/>
        <v>0.93</v>
      </c>
      <c r="G31" s="3">
        <f t="shared" si="11"/>
        <v>0.93</v>
      </c>
      <c r="H31" s="3">
        <f t="shared" si="11"/>
        <v>0.93</v>
      </c>
      <c r="I31" s="3">
        <f t="shared" si="11"/>
        <v>0.93</v>
      </c>
      <c r="J31" s="3">
        <f t="shared" si="11"/>
        <v>0.93</v>
      </c>
      <c r="K31" s="3">
        <f t="shared" si="11"/>
        <v>0.93</v>
      </c>
      <c r="L31" s="3">
        <f t="shared" si="11"/>
        <v>0.93</v>
      </c>
      <c r="M31" s="3">
        <f t="shared" si="11"/>
        <v>0.93</v>
      </c>
      <c r="N31" s="3">
        <f t="shared" si="11"/>
        <v>0.93</v>
      </c>
      <c r="O31" s="3">
        <f t="shared" si="11"/>
        <v>0.93</v>
      </c>
    </row>
    <row r="32" spans="1:15" x14ac:dyDescent="0.25">
      <c r="A32" s="3" t="s">
        <v>89</v>
      </c>
      <c r="B32" t="s">
        <v>90</v>
      </c>
      <c r="D32">
        <f>(Main!$D18+45)*D31*D14/(D23*3600)</f>
        <v>0.14917782445482025</v>
      </c>
      <c r="E32">
        <f>(Main!$D18+45)*E31*E14/(E23*3600)</f>
        <v>0.14917782445482025</v>
      </c>
      <c r="F32">
        <f>(Main!$D18+45)*F31*F14/(F23*3600)</f>
        <v>0.14917782445482025</v>
      </c>
      <c r="G32">
        <f>(Main!$D18+45)*G31*G14/(G23*3600)</f>
        <v>0.14917782445482025</v>
      </c>
      <c r="H32">
        <f>(Main!$D18+45)*H31*H14/(H23*3600)</f>
        <v>0.14917782445482025</v>
      </c>
      <c r="I32">
        <f>(Main!$D18+45)*I31*I14/(I23*3600)</f>
        <v>0.14917782445482025</v>
      </c>
      <c r="J32">
        <f>(Main!$D18+45)*J31*J14/(J23*3600)</f>
        <v>0.14917782445482025</v>
      </c>
      <c r="K32">
        <f>(Main!$D18+45)*K31*K14/(K23*3600)</f>
        <v>0.14917782445482025</v>
      </c>
      <c r="L32">
        <f>(Main!$D18+45)*L31*L14/(L23*3600)</f>
        <v>7.3861604697718589E-2</v>
      </c>
      <c r="M32">
        <f>(Main!$D18+45)*M31*M14/(M23*3600)</f>
        <v>4.8612408241394796E-2</v>
      </c>
      <c r="N32">
        <f>(Main!$D18+45)*N31*N14/(N23*3600)</f>
        <v>1.2112872236042726E-2</v>
      </c>
      <c r="O32">
        <f>(Main!$D18+45)*O31*O14/(O23*3600)</f>
        <v>4.8612408241394796E-2</v>
      </c>
    </row>
    <row r="33" spans="1:15" x14ac:dyDescent="0.25">
      <c r="A33" s="3" t="s">
        <v>91</v>
      </c>
      <c r="B33" t="s">
        <v>92</v>
      </c>
      <c r="D33">
        <f>D29+D32+Input!$A29</f>
        <v>376.80326614460267</v>
      </c>
      <c r="E33">
        <f>E29+E32+Input!$A29</f>
        <v>150.89301315251399</v>
      </c>
      <c r="F33">
        <f>F29+F32+Input!$A29</f>
        <v>75.589595488484406</v>
      </c>
      <c r="G33">
        <f>G29+G32+Input!$A29</f>
        <v>37.937886656469608</v>
      </c>
      <c r="H33">
        <f>H29+H32+Input!$A29</f>
        <v>7.8165195908577783</v>
      </c>
      <c r="I33">
        <f>I29+I32+Input!$A29</f>
        <v>4.0513487076562988</v>
      </c>
      <c r="J33">
        <f>J29+J32+Input!$A29</f>
        <v>1.039212001095116</v>
      </c>
      <c r="K33">
        <f>K29+K32+Input!$A29</f>
        <v>0.66269491277496817</v>
      </c>
      <c r="L33">
        <f>L29+L32+Input!$A29</f>
        <v>0.34057828463431905</v>
      </c>
      <c r="M33">
        <f>M29+M32+Input!$A29</f>
        <v>0.27486420020182528</v>
      </c>
      <c r="N33">
        <f>N29+N32+Input!$A29</f>
        <v>0.17509514941413273</v>
      </c>
      <c r="O33">
        <f>O29+O32+Input!$A29</f>
        <v>0.27486420020182528</v>
      </c>
    </row>
    <row r="38" spans="1:15" s="4" customFormat="1" x14ac:dyDescent="0.25">
      <c r="K38" s="6"/>
      <c r="O38" s="6"/>
    </row>
  </sheetData>
  <phoneticPr fontId="1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G32"/>
  <sheetViews>
    <sheetView topLeftCell="A2" workbookViewId="0">
      <selection activeCell="A31" sqref="A31"/>
    </sheetView>
  </sheetViews>
  <sheetFormatPr defaultRowHeight="13.2" x14ac:dyDescent="0.25"/>
  <cols>
    <col min="1" max="1" width="22.6640625" customWidth="1"/>
    <col min="3" max="3" width="6.109375" customWidth="1"/>
    <col min="4" max="4" width="5.109375" customWidth="1"/>
    <col min="5" max="5" width="6.44140625" customWidth="1"/>
    <col min="6" max="6" width="5.5546875" customWidth="1"/>
    <col min="7" max="7" width="6" customWidth="1"/>
    <col min="8" max="8" width="7" customWidth="1"/>
    <col min="9" max="9" width="6.33203125" customWidth="1"/>
    <col min="10" max="10" width="7.44140625" customWidth="1"/>
    <col min="11" max="11" width="5" customWidth="1"/>
    <col min="12" max="12" width="7.5546875" customWidth="1"/>
    <col min="13" max="13" width="6.5546875" customWidth="1"/>
  </cols>
  <sheetData>
    <row r="2" spans="1:6" x14ac:dyDescent="0.25">
      <c r="A2" s="1" t="s">
        <v>48</v>
      </c>
    </row>
    <row r="3" spans="1:6" x14ac:dyDescent="0.25">
      <c r="A3" s="1" t="s">
        <v>18</v>
      </c>
    </row>
    <row r="4" spans="1:6" x14ac:dyDescent="0.25">
      <c r="A4" s="1" t="s">
        <v>19</v>
      </c>
    </row>
    <row r="5" spans="1:6" x14ac:dyDescent="0.25">
      <c r="A5" s="3">
        <v>2</v>
      </c>
      <c r="B5" t="s">
        <v>23</v>
      </c>
    </row>
    <row r="6" spans="1:6" x14ac:dyDescent="0.25">
      <c r="A6" s="1" t="s">
        <v>20</v>
      </c>
      <c r="C6">
        <v>28.5</v>
      </c>
      <c r="E6">
        <v>0</v>
      </c>
    </row>
    <row r="7" spans="1:6" x14ac:dyDescent="0.25">
      <c r="A7" s="1" t="s">
        <v>5</v>
      </c>
      <c r="C7">
        <v>172.5</v>
      </c>
      <c r="E7">
        <v>200</v>
      </c>
    </row>
    <row r="8" spans="1:6" x14ac:dyDescent="0.25">
      <c r="A8" s="1" t="s">
        <v>21</v>
      </c>
      <c r="C8">
        <v>445</v>
      </c>
      <c r="E8">
        <v>500</v>
      </c>
    </row>
    <row r="9" spans="1:6" x14ac:dyDescent="0.25">
      <c r="A9">
        <v>2</v>
      </c>
      <c r="B9" t="s">
        <v>22</v>
      </c>
      <c r="C9">
        <f>IF(A9=1,C6,IF(A9=2,C7,C8))</f>
        <v>172.5</v>
      </c>
      <c r="D9" t="s">
        <v>64</v>
      </c>
      <c r="E9">
        <f>IF(A9=1,E6,IF(A9=2,E7,E8))</f>
        <v>200</v>
      </c>
      <c r="F9" t="s">
        <v>65</v>
      </c>
    </row>
    <row r="11" spans="1:6" x14ac:dyDescent="0.25">
      <c r="A11" s="1" t="s">
        <v>24</v>
      </c>
    </row>
    <row r="12" spans="1:6" x14ac:dyDescent="0.25">
      <c r="A12" s="1" t="s">
        <v>25</v>
      </c>
    </row>
    <row r="13" spans="1:6" x14ac:dyDescent="0.25">
      <c r="A13">
        <v>1</v>
      </c>
      <c r="B13" t="s">
        <v>28</v>
      </c>
    </row>
    <row r="14" spans="1:6" x14ac:dyDescent="0.25">
      <c r="A14" s="1" t="s">
        <v>4</v>
      </c>
    </row>
    <row r="15" spans="1:6" x14ac:dyDescent="0.25">
      <c r="A15" s="1" t="s">
        <v>5</v>
      </c>
    </row>
    <row r="16" spans="1:6" x14ac:dyDescent="0.25">
      <c r="A16" s="1" t="s">
        <v>6</v>
      </c>
    </row>
    <row r="17" spans="1:7" x14ac:dyDescent="0.25">
      <c r="A17">
        <v>2</v>
      </c>
      <c r="B17" t="s">
        <v>7</v>
      </c>
      <c r="F17">
        <f>IF(A17=1,0.8,IF(A17 =2,1,1.3))</f>
        <v>1</v>
      </c>
      <c r="G17" t="s">
        <v>8</v>
      </c>
    </row>
    <row r="18" spans="1:7" x14ac:dyDescent="0.25">
      <c r="A18" s="1" t="s">
        <v>35</v>
      </c>
    </row>
    <row r="19" spans="1:7" x14ac:dyDescent="0.25">
      <c r="A19" s="1" t="s">
        <v>36</v>
      </c>
    </row>
    <row r="20" spans="1:7" x14ac:dyDescent="0.25">
      <c r="A20" s="1" t="s">
        <v>37</v>
      </c>
    </row>
    <row r="21" spans="1:7" x14ac:dyDescent="0.25">
      <c r="A21">
        <v>1</v>
      </c>
      <c r="B21" t="s">
        <v>14</v>
      </c>
      <c r="F21">
        <f>IF(A21=1,0.7,IF(A21=2,1,1.4))</f>
        <v>0.7</v>
      </c>
      <c r="G21" t="s">
        <v>9</v>
      </c>
    </row>
    <row r="23" spans="1:7" x14ac:dyDescent="0.25">
      <c r="A23" s="1" t="s">
        <v>38</v>
      </c>
      <c r="B23">
        <v>0.7</v>
      </c>
      <c r="C23" t="s">
        <v>44</v>
      </c>
    </row>
    <row r="24" spans="1:7" x14ac:dyDescent="0.25">
      <c r="A24" s="1" t="s">
        <v>39</v>
      </c>
      <c r="B24">
        <v>0.88500000000000001</v>
      </c>
    </row>
    <row r="25" spans="1:7" x14ac:dyDescent="0.25">
      <c r="A25" s="1" t="s">
        <v>40</v>
      </c>
      <c r="B25">
        <v>0.41199999999999998</v>
      </c>
    </row>
    <row r="26" spans="1:7" x14ac:dyDescent="0.25">
      <c r="A26" s="1" t="s">
        <v>41</v>
      </c>
      <c r="B26">
        <v>0.13700000000000001</v>
      </c>
    </row>
    <row r="27" spans="1:7" x14ac:dyDescent="0.25">
      <c r="A27" s="1" t="s">
        <v>42</v>
      </c>
      <c r="B27">
        <v>0.13700000000000001</v>
      </c>
    </row>
    <row r="28" spans="1:7" x14ac:dyDescent="0.25">
      <c r="A28">
        <v>5</v>
      </c>
      <c r="B28" t="s">
        <v>45</v>
      </c>
    </row>
    <row r="29" spans="1:7" x14ac:dyDescent="0.25">
      <c r="A29">
        <f>IF(A28=1,B23,IF(A28=2,B24,IF(A28=3,B25,IF(A28=4,B26,B27))))</f>
        <v>0.13700000000000001</v>
      </c>
      <c r="B29" t="s">
        <v>102</v>
      </c>
    </row>
    <row r="30" spans="1:7" x14ac:dyDescent="0.25">
      <c r="A30">
        <f>A29*16.38</f>
        <v>2.2440600000000002</v>
      </c>
      <c r="B30" t="s">
        <v>103</v>
      </c>
    </row>
    <row r="31" spans="1:7" x14ac:dyDescent="0.25">
      <c r="A31">
        <f>A30*0.01</f>
        <v>2.2440600000000002E-2</v>
      </c>
      <c r="B31" t="s">
        <v>104</v>
      </c>
    </row>
    <row r="32" spans="1:7" x14ac:dyDescent="0.25">
      <c r="C32" s="2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Inject</vt:lpstr>
      <vt:lpstr>Input</vt:lpstr>
    </vt:vector>
  </TitlesOfParts>
  <Company>Robust Decisions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Ullman</dc:creator>
  <cp:lastModifiedBy>david</cp:lastModifiedBy>
  <cp:lastPrinted>2007-08-16T19:59:08Z</cp:lastPrinted>
  <dcterms:created xsi:type="dcterms:W3CDTF">2007-06-26T00:48:34Z</dcterms:created>
  <dcterms:modified xsi:type="dcterms:W3CDTF">2018-07-09T02:36:13Z</dcterms:modified>
</cp:coreProperties>
</file>